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5610" windowHeight="3390" activeTab="1"/>
  </bookViews>
  <sheets>
    <sheet name="Лист0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<sst xmlns="http://schemas.openxmlformats.org/spreadsheetml/2006/main" count="347" uniqueCount="245">
  <si>
    <r>
      <t>n/n</t>
    </r>
    <r>
      <rPr>
        <sz val="8"/>
        <rFont val="Arial Cyr"/>
        <family val="2"/>
      </rPr>
      <t>дн</t>
    </r>
  </si>
  <si>
    <t>kH</t>
  </si>
  <si>
    <r>
      <t xml:space="preserve">   P</t>
    </r>
    <r>
      <rPr>
        <b/>
        <sz val="8"/>
        <rFont val="Arial Cyr"/>
        <family val="2"/>
      </rPr>
      <t>кр н</t>
    </r>
  </si>
  <si>
    <r>
      <t xml:space="preserve">       G</t>
    </r>
    <r>
      <rPr>
        <b/>
        <sz val="8"/>
        <rFont val="Arial Cyr"/>
        <family val="2"/>
      </rPr>
      <t>тр  =</t>
    </r>
  </si>
  <si>
    <t>---------------</t>
  </si>
  <si>
    <t>----------- =</t>
  </si>
  <si>
    <t>Проверочная формула:</t>
  </si>
  <si>
    <t>кН</t>
  </si>
  <si>
    <t>Введите в желтые клетки значения показателей формулы</t>
  </si>
  <si>
    <t>Тип тракт.</t>
  </si>
  <si>
    <t>Фон</t>
  </si>
  <si>
    <t>Формула</t>
  </si>
  <si>
    <t>4К2</t>
  </si>
  <si>
    <t>асфальт</t>
  </si>
  <si>
    <t>стерня</t>
  </si>
  <si>
    <t>залежь</t>
  </si>
  <si>
    <t>под посев</t>
  </si>
  <si>
    <t>4К4</t>
  </si>
  <si>
    <t>d</t>
  </si>
  <si>
    <t>Формула расчета при одном ведущем мосте:</t>
  </si>
  <si>
    <t>Формула расчета при двух ведущих мостах:</t>
  </si>
  <si>
    <t>Введите нужные показатели в клетки таблицы</t>
  </si>
  <si>
    <t>Показатель</t>
  </si>
  <si>
    <t>n</t>
  </si>
  <si>
    <t>m</t>
  </si>
  <si>
    <r>
      <t>k</t>
    </r>
    <r>
      <rPr>
        <sz val="8"/>
        <rFont val="Arial Cyr"/>
        <family val="2"/>
      </rPr>
      <t>N</t>
    </r>
  </si>
  <si>
    <t>x</t>
  </si>
  <si>
    <r>
      <t>h</t>
    </r>
    <r>
      <rPr>
        <sz val="8"/>
        <rFont val="Times New Roman Cyr"/>
        <family val="1"/>
      </rPr>
      <t>ц</t>
    </r>
  </si>
  <si>
    <r>
      <t>h</t>
    </r>
    <r>
      <rPr>
        <sz val="8"/>
        <rFont val="Times New Roman Cyr"/>
        <family val="1"/>
      </rPr>
      <t>к</t>
    </r>
  </si>
  <si>
    <r>
      <t>h</t>
    </r>
    <r>
      <rPr>
        <sz val="8"/>
        <rFont val="Times New Roman Cyr"/>
        <family val="1"/>
      </rPr>
      <t>г</t>
    </r>
  </si>
  <si>
    <t>После ввода данных в таблицу, результат будет показан в клетках F18 или  H19</t>
  </si>
  <si>
    <r>
      <t>h</t>
    </r>
    <r>
      <rPr>
        <b/>
        <sz val="8"/>
        <rFont val="Times New Roman Cyr"/>
        <family val="1"/>
      </rPr>
      <t>тр</t>
    </r>
    <r>
      <rPr>
        <b/>
        <sz val="10"/>
        <rFont val="Symbol"/>
        <family val="1"/>
      </rPr>
      <t xml:space="preserve"> =h</t>
    </r>
    <r>
      <rPr>
        <b/>
        <sz val="8"/>
        <rFont val="Times New Roman Cyr"/>
        <family val="1"/>
      </rPr>
      <t>ц^n</t>
    </r>
    <r>
      <rPr>
        <b/>
        <sz val="10"/>
        <rFont val="Symbol"/>
        <family val="1"/>
      </rPr>
      <t xml:space="preserve"> * h</t>
    </r>
    <r>
      <rPr>
        <b/>
        <sz val="8"/>
        <rFont val="Times New Roman Cyr"/>
        <family val="1"/>
      </rPr>
      <t>к</t>
    </r>
    <r>
      <rPr>
        <b/>
        <sz val="10"/>
        <rFont val="Symbol"/>
        <family val="1"/>
      </rPr>
      <t xml:space="preserve"> </t>
    </r>
    <r>
      <rPr>
        <b/>
        <sz val="8"/>
        <rFont val="Times New Roman Cyr"/>
        <family val="1"/>
      </rPr>
      <t>^m</t>
    </r>
    <r>
      <rPr>
        <b/>
        <sz val="10"/>
        <rFont val="Symbol"/>
        <family val="1"/>
      </rPr>
      <t>*h</t>
    </r>
    <r>
      <rPr>
        <b/>
        <sz val="8"/>
        <rFont val="Times New Roman Cyr"/>
        <family val="1"/>
      </rPr>
      <t>г</t>
    </r>
    <r>
      <rPr>
        <b/>
        <sz val="10"/>
        <rFont val="Symbol"/>
        <family val="1"/>
      </rPr>
      <t xml:space="preserve"> (1-x)</t>
    </r>
    <r>
      <rPr>
        <sz val="10"/>
        <rFont val="Symbol"/>
        <family val="1"/>
      </rPr>
      <t xml:space="preserve"> =</t>
    </r>
  </si>
  <si>
    <t xml:space="preserve">Мощности: </t>
  </si>
  <si>
    <t>)      *</t>
  </si>
  <si>
    <t>)</t>
  </si>
  <si>
    <t xml:space="preserve">     =</t>
  </si>
  <si>
    <r>
      <t xml:space="preserve">     </t>
    </r>
    <r>
      <rPr>
        <b/>
        <sz val="10"/>
        <rFont val="Arial Cyr"/>
        <family val="2"/>
      </rPr>
      <t xml:space="preserve"> +</t>
    </r>
  </si>
  <si>
    <t xml:space="preserve">         =</t>
  </si>
  <si>
    <t xml:space="preserve">     *(1   </t>
  </si>
  <si>
    <t xml:space="preserve">       *</t>
  </si>
  <si>
    <t xml:space="preserve">      =</t>
  </si>
  <si>
    <t>кВт</t>
  </si>
  <si>
    <t>Введите в клетки соответсвующие величины показателей.</t>
  </si>
  <si>
    <r>
      <t>h</t>
    </r>
    <r>
      <rPr>
        <b/>
        <sz val="8"/>
        <rFont val="Times New Roman Cyr"/>
        <family val="1"/>
      </rPr>
      <t>тр</t>
    </r>
    <r>
      <rPr>
        <b/>
        <sz val="10"/>
        <rFont val="Symbol"/>
        <family val="1"/>
      </rPr>
      <t xml:space="preserve"> =h</t>
    </r>
    <r>
      <rPr>
        <b/>
        <sz val="8"/>
        <rFont val="Times New Roman Cyr"/>
        <family val="1"/>
      </rPr>
      <t>ц1^n</t>
    </r>
    <r>
      <rPr>
        <b/>
        <sz val="10"/>
        <rFont val="Symbol"/>
        <family val="1"/>
      </rPr>
      <t xml:space="preserve"> * h</t>
    </r>
    <r>
      <rPr>
        <b/>
        <sz val="8"/>
        <rFont val="Times New Roman Cyr"/>
        <family val="1"/>
      </rPr>
      <t>к1</t>
    </r>
    <r>
      <rPr>
        <b/>
        <sz val="10"/>
        <rFont val="Symbol"/>
        <family val="1"/>
      </rPr>
      <t xml:space="preserve"> </t>
    </r>
    <r>
      <rPr>
        <b/>
        <sz val="8"/>
        <rFont val="Times New Roman Cyr"/>
        <family val="1"/>
      </rPr>
      <t>^m</t>
    </r>
    <r>
      <rPr>
        <b/>
        <sz val="10"/>
        <rFont val="Symbol"/>
        <family val="1"/>
      </rPr>
      <t>* (1-x)*</t>
    </r>
    <r>
      <rPr>
        <b/>
        <sz val="10"/>
        <rFont val="Times New Roman Cyr"/>
        <family val="1"/>
      </rPr>
      <t>к</t>
    </r>
    <r>
      <rPr>
        <b/>
        <sz val="8"/>
        <rFont val="Times New Roman Cyr"/>
        <family val="1"/>
      </rPr>
      <t>N</t>
    </r>
    <r>
      <rPr>
        <b/>
        <sz val="10"/>
        <rFont val="Symbol"/>
        <family val="1"/>
      </rPr>
      <t xml:space="preserve"> +h</t>
    </r>
    <r>
      <rPr>
        <b/>
        <sz val="8"/>
        <rFont val="Times New Roman Cyr"/>
        <family val="1"/>
      </rPr>
      <t>ц2^</t>
    </r>
    <r>
      <rPr>
        <b/>
        <sz val="10"/>
        <rFont val="Times New Roman Cyr"/>
        <family val="1"/>
      </rPr>
      <t>n</t>
    </r>
    <r>
      <rPr>
        <b/>
        <sz val="10"/>
        <rFont val="Symbol"/>
        <family val="1"/>
      </rPr>
      <t xml:space="preserve"> * h</t>
    </r>
    <r>
      <rPr>
        <b/>
        <sz val="10"/>
        <rFont val="Times New Roman Cyr"/>
        <family val="1"/>
      </rPr>
      <t>к2^m*(1-k</t>
    </r>
    <r>
      <rPr>
        <b/>
        <sz val="8"/>
        <rFont val="Times New Roman Cyr"/>
        <family val="1"/>
      </rPr>
      <t>N)</t>
    </r>
    <r>
      <rPr>
        <b/>
        <sz val="10"/>
        <rFont val="Symbol"/>
        <family val="1"/>
      </rPr>
      <t xml:space="preserve"> =</t>
    </r>
  </si>
  <si>
    <t>Формулы расчета для любого скоростного режима дизеля (см. расчет двигателя в 7 семестре):</t>
  </si>
  <si>
    <t>Момента:</t>
  </si>
  <si>
    <t>Удельного эффективного рахода топлива:</t>
  </si>
  <si>
    <r>
      <t>N</t>
    </r>
    <r>
      <rPr>
        <b/>
        <i/>
        <sz val="8"/>
        <rFont val="Arial Cyr"/>
        <family val="2"/>
      </rPr>
      <t xml:space="preserve">e </t>
    </r>
    <r>
      <rPr>
        <b/>
        <i/>
        <sz val="10"/>
        <rFont val="Arial Cyr"/>
        <family val="2"/>
      </rPr>
      <t xml:space="preserve"> = Nе мах (n</t>
    </r>
    <r>
      <rPr>
        <b/>
        <i/>
        <sz val="8"/>
        <rFont val="Arial Cyr"/>
        <family val="2"/>
      </rPr>
      <t>д</t>
    </r>
    <r>
      <rPr>
        <b/>
        <i/>
        <sz val="10"/>
        <rFont val="Arial Cyr"/>
        <family val="2"/>
      </rPr>
      <t>/n</t>
    </r>
    <r>
      <rPr>
        <b/>
        <i/>
        <sz val="8"/>
        <rFont val="Arial Cyr"/>
        <family val="2"/>
      </rPr>
      <t>дн</t>
    </r>
    <r>
      <rPr>
        <b/>
        <i/>
        <sz val="10"/>
        <rFont val="Arial Cyr"/>
        <family val="2"/>
      </rPr>
      <t>)(0,87+1,13(n</t>
    </r>
    <r>
      <rPr>
        <b/>
        <i/>
        <sz val="8"/>
        <rFont val="Arial Cyr"/>
        <family val="2"/>
      </rPr>
      <t>д</t>
    </r>
    <r>
      <rPr>
        <b/>
        <i/>
        <sz val="10"/>
        <rFont val="Arial Cyr"/>
        <family val="2"/>
      </rPr>
      <t>/n</t>
    </r>
    <r>
      <rPr>
        <b/>
        <i/>
        <sz val="8"/>
        <rFont val="Arial Cyr"/>
        <family val="2"/>
      </rPr>
      <t>дн</t>
    </r>
    <r>
      <rPr>
        <b/>
        <i/>
        <sz val="10"/>
        <rFont val="Arial Cyr"/>
        <family val="2"/>
      </rPr>
      <t>)-(n</t>
    </r>
    <r>
      <rPr>
        <b/>
        <i/>
        <sz val="8"/>
        <rFont val="Arial Cyr"/>
        <family val="2"/>
      </rPr>
      <t>д</t>
    </r>
    <r>
      <rPr>
        <b/>
        <i/>
        <sz val="10"/>
        <rFont val="Arial Cyr"/>
        <family val="2"/>
      </rPr>
      <t>/n</t>
    </r>
    <r>
      <rPr>
        <b/>
        <i/>
        <sz val="8"/>
        <rFont val="Arial Cyr"/>
        <family val="2"/>
      </rPr>
      <t>дн</t>
    </r>
    <r>
      <rPr>
        <b/>
        <i/>
        <sz val="10"/>
        <rFont val="Arial Cyr"/>
        <family val="2"/>
      </rPr>
      <t>)^2)</t>
    </r>
    <r>
      <rPr>
        <b/>
        <sz val="10"/>
        <rFont val="Arial Cyr"/>
        <family val="2"/>
      </rPr>
      <t>)</t>
    </r>
  </si>
  <si>
    <r>
      <t>М</t>
    </r>
    <r>
      <rPr>
        <b/>
        <i/>
        <sz val="8"/>
        <rFont val="Arial Cyr"/>
        <family val="2"/>
      </rPr>
      <t xml:space="preserve">к </t>
    </r>
    <r>
      <rPr>
        <b/>
        <i/>
        <sz val="10"/>
        <rFont val="Arial Cyr"/>
        <family val="2"/>
      </rPr>
      <t>=9550*N</t>
    </r>
    <r>
      <rPr>
        <b/>
        <i/>
        <sz val="8"/>
        <rFont val="Arial Cyr"/>
        <family val="2"/>
      </rPr>
      <t>e/</t>
    </r>
    <r>
      <rPr>
        <b/>
        <i/>
        <sz val="10"/>
        <rFont val="Arial Cyr"/>
        <family val="2"/>
      </rPr>
      <t>n</t>
    </r>
    <r>
      <rPr>
        <b/>
        <i/>
        <sz val="8"/>
        <rFont val="Arial Cyr"/>
        <family val="2"/>
      </rPr>
      <t>д</t>
    </r>
  </si>
  <si>
    <r>
      <t>g</t>
    </r>
    <r>
      <rPr>
        <b/>
        <i/>
        <sz val="8"/>
        <rFont val="Arial Cyr"/>
        <family val="2"/>
      </rPr>
      <t>е</t>
    </r>
    <r>
      <rPr>
        <b/>
        <i/>
        <sz val="10"/>
        <rFont val="Arial Cyr"/>
        <family val="2"/>
      </rPr>
      <t xml:space="preserve"> = g</t>
    </r>
    <r>
      <rPr>
        <b/>
        <i/>
        <sz val="8"/>
        <rFont val="Arial Cyr"/>
        <family val="2"/>
      </rPr>
      <t>ен</t>
    </r>
    <r>
      <rPr>
        <b/>
        <i/>
        <sz val="10"/>
        <rFont val="Arial Cyr"/>
        <family val="2"/>
      </rPr>
      <t xml:space="preserve"> (1,55-1,55(n</t>
    </r>
    <r>
      <rPr>
        <b/>
        <i/>
        <sz val="8"/>
        <rFont val="Arial Cyr"/>
        <family val="2"/>
      </rPr>
      <t>д</t>
    </r>
    <r>
      <rPr>
        <b/>
        <i/>
        <sz val="10"/>
        <rFont val="Arial Cyr"/>
        <family val="2"/>
      </rPr>
      <t>/n</t>
    </r>
    <r>
      <rPr>
        <b/>
        <i/>
        <sz val="8"/>
        <rFont val="Arial Cyr"/>
        <family val="2"/>
      </rPr>
      <t>дн</t>
    </r>
    <r>
      <rPr>
        <b/>
        <i/>
        <sz val="10"/>
        <rFont val="Arial Cyr"/>
        <family val="2"/>
      </rPr>
      <t>)+(n</t>
    </r>
    <r>
      <rPr>
        <b/>
        <i/>
        <sz val="8"/>
        <rFont val="Arial Cyr"/>
        <family val="2"/>
      </rPr>
      <t>д</t>
    </r>
    <r>
      <rPr>
        <b/>
        <i/>
        <sz val="10"/>
        <rFont val="Arial Cyr"/>
        <family val="2"/>
      </rPr>
      <t>/n</t>
    </r>
    <r>
      <rPr>
        <b/>
        <i/>
        <sz val="8"/>
        <rFont val="Arial Cyr"/>
        <family val="2"/>
      </rPr>
      <t>дн</t>
    </r>
    <r>
      <rPr>
        <b/>
        <i/>
        <sz val="10"/>
        <rFont val="Arial Cyr"/>
        <family val="2"/>
      </rPr>
      <t>)^2)</t>
    </r>
  </si>
  <si>
    <t xml:space="preserve">Часового расхода топлива:                        </t>
  </si>
  <si>
    <r>
      <t>G</t>
    </r>
    <r>
      <rPr>
        <b/>
        <i/>
        <sz val="8"/>
        <rFont val="Arial Cyr"/>
        <family val="2"/>
      </rPr>
      <t>т</t>
    </r>
    <r>
      <rPr>
        <b/>
        <i/>
        <sz val="10"/>
        <rFont val="Arial Cyr"/>
        <family val="2"/>
      </rPr>
      <t xml:space="preserve"> = g</t>
    </r>
    <r>
      <rPr>
        <b/>
        <i/>
        <sz val="8"/>
        <rFont val="Arial Cyr"/>
        <family val="2"/>
      </rPr>
      <t>е</t>
    </r>
    <r>
      <rPr>
        <b/>
        <i/>
        <sz val="10"/>
        <rFont val="Arial Cyr"/>
        <family val="2"/>
      </rPr>
      <t xml:space="preserve"> *N</t>
    </r>
    <r>
      <rPr>
        <b/>
        <i/>
        <sz val="8"/>
        <rFont val="Arial Cyr"/>
        <family val="2"/>
      </rPr>
      <t>е</t>
    </r>
    <r>
      <rPr>
        <b/>
        <i/>
        <sz val="10"/>
        <rFont val="Arial Cyr"/>
        <family val="2"/>
      </rPr>
      <t>*1000</t>
    </r>
  </si>
  <si>
    <t>топлива ( примите по прототипу).</t>
  </si>
  <si>
    <t xml:space="preserve">Машина заполнит таблицу значениями для заданных режимов частоты </t>
  </si>
  <si>
    <t>По этим данным построите характеристику двигателя.</t>
  </si>
  <si>
    <t>вращения.</t>
  </si>
  <si>
    <t xml:space="preserve">Введите в желтые клетки номинальную частоту вращения (примите по прототипу), </t>
  </si>
  <si>
    <r>
      <t>n</t>
    </r>
    <r>
      <rPr>
        <sz val="8"/>
        <rFont val="Arial Cyr"/>
        <family val="2"/>
      </rPr>
      <t>д,об/мин</t>
    </r>
  </si>
  <si>
    <r>
      <t>N</t>
    </r>
    <r>
      <rPr>
        <sz val="8"/>
        <rFont val="Arial Cyr"/>
        <family val="2"/>
      </rPr>
      <t>e, кВт</t>
    </r>
  </si>
  <si>
    <r>
      <t>M</t>
    </r>
    <r>
      <rPr>
        <sz val="8"/>
        <rFont val="Arial Cyr"/>
        <family val="2"/>
      </rPr>
      <t>k, Нм</t>
    </r>
  </si>
  <si>
    <r>
      <t>g</t>
    </r>
    <r>
      <rPr>
        <sz val="8"/>
        <rFont val="Arial Cyr"/>
        <family val="2"/>
      </rPr>
      <t>e, г/кВт.ч</t>
    </r>
  </si>
  <si>
    <r>
      <t>G</t>
    </r>
    <r>
      <rPr>
        <sz val="8"/>
        <rFont val="Arial Cyr"/>
        <family val="2"/>
      </rPr>
      <t>т, кг/ч</t>
    </r>
  </si>
  <si>
    <r>
      <t xml:space="preserve">Формулы для расчета передаточных чисел передач </t>
    </r>
    <r>
      <rPr>
        <i/>
        <u val="single"/>
        <sz val="10"/>
        <rFont val="Arial Cyr"/>
        <family val="2"/>
      </rPr>
      <t>рабочего диапазона</t>
    </r>
    <r>
      <rPr>
        <sz val="10"/>
        <rFont val="Arial Cyr"/>
        <family val="0"/>
      </rPr>
      <t>:</t>
    </r>
  </si>
  <si>
    <t>на низшей передаче (1-ой)</t>
  </si>
  <si>
    <t xml:space="preserve">        =</t>
  </si>
  <si>
    <r>
      <t xml:space="preserve">    </t>
    </r>
    <r>
      <rPr>
        <b/>
        <i/>
        <sz val="10"/>
        <rFont val="Arial Cyr"/>
        <family val="2"/>
      </rPr>
      <t xml:space="preserve">  i</t>
    </r>
    <r>
      <rPr>
        <b/>
        <i/>
        <sz val="8"/>
        <rFont val="Arial Cyr"/>
        <family val="2"/>
      </rPr>
      <t>1</t>
    </r>
    <r>
      <rPr>
        <b/>
        <i/>
        <sz val="10"/>
        <rFont val="Arial Cyr"/>
        <family val="2"/>
      </rPr>
      <t xml:space="preserve"> =</t>
    </r>
  </si>
  <si>
    <r>
      <t xml:space="preserve">     </t>
    </r>
    <r>
      <rPr>
        <b/>
        <i/>
        <sz val="10"/>
        <rFont val="Arial Cyr"/>
        <family val="2"/>
      </rPr>
      <t xml:space="preserve">  i</t>
    </r>
    <r>
      <rPr>
        <b/>
        <i/>
        <sz val="8"/>
        <rFont val="Arial Cyr"/>
        <family val="2"/>
      </rPr>
      <t>z</t>
    </r>
    <r>
      <rPr>
        <b/>
        <i/>
        <sz val="10"/>
        <rFont val="Arial Cyr"/>
        <family val="2"/>
      </rPr>
      <t xml:space="preserve"> =</t>
    </r>
  </si>
  <si>
    <t>Расчет знаменателя геометрической прогрессии</t>
  </si>
  <si>
    <t xml:space="preserve">Формула расчета: </t>
  </si>
  <si>
    <t xml:space="preserve">       =</t>
  </si>
  <si>
    <t xml:space="preserve">Проверка расчета: </t>
  </si>
  <si>
    <r>
      <t>q =(v</t>
    </r>
    <r>
      <rPr>
        <b/>
        <sz val="8"/>
        <rFont val="Arial Cyr"/>
        <family val="2"/>
      </rPr>
      <t>т1</t>
    </r>
    <r>
      <rPr>
        <b/>
        <i/>
        <sz val="10"/>
        <rFont val="Arial Cyr"/>
        <family val="2"/>
      </rPr>
      <t xml:space="preserve"> /v</t>
    </r>
    <r>
      <rPr>
        <b/>
        <sz val="8"/>
        <rFont val="Arial Cyr"/>
        <family val="2"/>
      </rPr>
      <t>тz</t>
    </r>
    <r>
      <rPr>
        <b/>
        <i/>
        <sz val="10"/>
        <rFont val="Arial Cyr"/>
        <family val="2"/>
      </rPr>
      <t>)^(1/(z-1)) =</t>
    </r>
  </si>
  <si>
    <r>
      <t>30</t>
    </r>
    <r>
      <rPr>
        <b/>
        <i/>
        <sz val="10"/>
        <rFont val="Arial Cyr"/>
        <family val="2"/>
      </rPr>
      <t xml:space="preserve"> v</t>
    </r>
    <r>
      <rPr>
        <b/>
        <sz val="8"/>
        <rFont val="Arial Cyr"/>
        <family val="2"/>
      </rPr>
      <t>т1</t>
    </r>
  </si>
  <si>
    <r>
      <t>30</t>
    </r>
    <r>
      <rPr>
        <sz val="10"/>
        <rFont val="Arial Cyr"/>
        <family val="0"/>
      </rPr>
      <t xml:space="preserve"> </t>
    </r>
    <r>
      <rPr>
        <b/>
        <i/>
        <sz val="10"/>
        <rFont val="Arial Cyr"/>
        <family val="2"/>
      </rPr>
      <t>v</t>
    </r>
    <r>
      <rPr>
        <b/>
        <sz val="8"/>
        <rFont val="Arial Cyr"/>
        <family val="2"/>
      </rPr>
      <t>z</t>
    </r>
  </si>
  <si>
    <r>
      <t xml:space="preserve">1/q </t>
    </r>
    <r>
      <rPr>
        <b/>
        <i/>
        <sz val="10"/>
        <rFont val="Symbol"/>
        <family val="1"/>
      </rPr>
      <t xml:space="preserve">&lt;k, </t>
    </r>
    <r>
      <rPr>
        <sz val="10"/>
        <rFont val="Symbol"/>
        <family val="1"/>
      </rPr>
      <t xml:space="preserve"> </t>
    </r>
    <r>
      <rPr>
        <sz val="10"/>
        <rFont val="Arial Cyr"/>
        <family val="2"/>
      </rPr>
      <t>т.е.</t>
    </r>
    <r>
      <rPr>
        <b/>
        <i/>
        <sz val="10"/>
        <rFont val="Symbol"/>
        <family val="1"/>
      </rPr>
      <t xml:space="preserve">   </t>
    </r>
    <r>
      <rPr>
        <sz val="10"/>
        <rFont val="Symbol"/>
        <family val="1"/>
      </rPr>
      <t>1/</t>
    </r>
    <r>
      <rPr>
        <sz val="10"/>
        <rFont val="Arial Cyr"/>
        <family val="2"/>
      </rPr>
      <t>q</t>
    </r>
    <r>
      <rPr>
        <sz val="10"/>
        <rFont val="Symbol"/>
        <family val="1"/>
      </rPr>
      <t xml:space="preserve"> &lt;1,15</t>
    </r>
    <r>
      <rPr>
        <sz val="10"/>
        <rFont val="Arial Cyr"/>
        <family val="2"/>
      </rPr>
      <t>…1</t>
    </r>
    <r>
      <rPr>
        <sz val="10"/>
        <rFont val="Symbol"/>
        <family val="1"/>
      </rPr>
      <t>,2.</t>
    </r>
  </si>
  <si>
    <t xml:space="preserve">    1/q =</t>
  </si>
  <si>
    <t xml:space="preserve">Если условие не выполняется, увеличьте число передач. </t>
  </si>
  <si>
    <t>Передачи</t>
  </si>
  <si>
    <r>
      <t xml:space="preserve">    i</t>
    </r>
    <r>
      <rPr>
        <sz val="8"/>
        <rFont val="Arial Cyr"/>
        <family val="2"/>
      </rPr>
      <t>тр</t>
    </r>
  </si>
  <si>
    <r>
      <t xml:space="preserve">Остальные передачи рассчитывают с учетом общей формулы   : </t>
    </r>
    <r>
      <rPr>
        <b/>
        <i/>
        <sz val="10"/>
        <rFont val="Arial Cyr"/>
        <family val="2"/>
      </rPr>
      <t>i</t>
    </r>
    <r>
      <rPr>
        <b/>
        <i/>
        <sz val="8"/>
        <rFont val="Arial Cyr"/>
        <family val="2"/>
      </rPr>
      <t>2</t>
    </r>
    <r>
      <rPr>
        <b/>
        <i/>
        <sz val="10"/>
        <rFont val="Arial Cyr"/>
        <family val="2"/>
      </rPr>
      <t xml:space="preserve"> =qi</t>
    </r>
    <r>
      <rPr>
        <b/>
        <i/>
        <sz val="8"/>
        <rFont val="Arial Cyr"/>
        <family val="2"/>
      </rPr>
      <t>1</t>
    </r>
    <r>
      <rPr>
        <b/>
        <i/>
        <sz val="10"/>
        <rFont val="Arial Cyr"/>
        <family val="2"/>
      </rPr>
      <t xml:space="preserve"> , i</t>
    </r>
    <r>
      <rPr>
        <b/>
        <i/>
        <sz val="8"/>
        <rFont val="Arial Cyr"/>
        <family val="2"/>
      </rPr>
      <t>3</t>
    </r>
    <r>
      <rPr>
        <b/>
        <i/>
        <sz val="10"/>
        <rFont val="Arial Cyr"/>
        <family val="2"/>
      </rPr>
      <t xml:space="preserve"> =qi</t>
    </r>
    <r>
      <rPr>
        <b/>
        <i/>
        <sz val="8"/>
        <rFont val="Arial Cyr"/>
        <family val="2"/>
      </rPr>
      <t>2</t>
    </r>
    <r>
      <rPr>
        <sz val="10"/>
        <rFont val="Arial Cyr"/>
        <family val="0"/>
      </rPr>
      <t xml:space="preserve">  ….          </t>
    </r>
  </si>
  <si>
    <t>Расчет передаточных чисел по передачам</t>
  </si>
  <si>
    <t xml:space="preserve">       /</t>
  </si>
  <si>
    <r>
      <t xml:space="preserve">     </t>
    </r>
    <r>
      <rPr>
        <b/>
        <i/>
        <sz val="10"/>
        <rFont val="Arial Cyr"/>
        <family val="2"/>
      </rPr>
      <t>Р</t>
    </r>
    <r>
      <rPr>
        <b/>
        <i/>
        <sz val="8"/>
        <rFont val="Arial Cyr"/>
        <family val="2"/>
      </rPr>
      <t>к1</t>
    </r>
    <r>
      <rPr>
        <b/>
        <i/>
        <sz val="10"/>
        <rFont val="Arial Cyr"/>
        <family val="2"/>
      </rPr>
      <t xml:space="preserve"> =</t>
    </r>
  </si>
  <si>
    <t xml:space="preserve">       3,14*</t>
  </si>
  <si>
    <t xml:space="preserve">   =</t>
  </si>
  <si>
    <t xml:space="preserve">  =</t>
  </si>
  <si>
    <t>на высшей передаче</t>
  </si>
  <si>
    <r>
      <t>Введите в соответствующую клетку значение i</t>
    </r>
    <r>
      <rPr>
        <sz val="8"/>
        <rFont val="Arial Cyr"/>
        <family val="2"/>
      </rPr>
      <t xml:space="preserve">z </t>
    </r>
    <r>
      <rPr>
        <sz val="10"/>
        <rFont val="Arial Cyr"/>
        <family val="2"/>
      </rPr>
      <t>высшей передачи</t>
    </r>
    <r>
      <rPr>
        <sz val="8"/>
        <rFont val="Arial Cyr"/>
        <family val="2"/>
      </rPr>
      <t>.</t>
    </r>
  </si>
  <si>
    <t>Расчет для остальных передач дан в таблице</t>
  </si>
  <si>
    <t>Передача</t>
  </si>
  <si>
    <t>3.3.2. Расчет усилия на крюке</t>
  </si>
  <si>
    <r>
      <t xml:space="preserve">Формула расчета: </t>
    </r>
    <r>
      <rPr>
        <b/>
        <i/>
        <sz val="10"/>
        <rFont val="Arial Cyr"/>
        <family val="2"/>
      </rPr>
      <t>Р</t>
    </r>
    <r>
      <rPr>
        <b/>
        <i/>
        <sz val="8"/>
        <rFont val="Arial Cyr"/>
        <family val="2"/>
      </rPr>
      <t>кр</t>
    </r>
    <r>
      <rPr>
        <b/>
        <i/>
        <sz val="10"/>
        <rFont val="Arial Cyr"/>
        <family val="2"/>
      </rPr>
      <t xml:space="preserve"> = Р</t>
    </r>
    <r>
      <rPr>
        <b/>
        <i/>
        <sz val="8"/>
        <rFont val="Arial Cyr"/>
        <family val="2"/>
      </rPr>
      <t>к</t>
    </r>
    <r>
      <rPr>
        <b/>
        <i/>
        <sz val="10"/>
        <rFont val="Arial Cyr"/>
        <family val="2"/>
      </rPr>
      <t xml:space="preserve">  - Р</t>
    </r>
    <r>
      <rPr>
        <b/>
        <i/>
        <sz val="8"/>
        <rFont val="Arial Cyr"/>
        <family val="2"/>
      </rPr>
      <t>f</t>
    </r>
  </si>
  <si>
    <t>Пример расчета на 1-ой передаче (введите в клетки данные):</t>
  </si>
  <si>
    <t>3.3.3. Расчет кривой буксования</t>
  </si>
  <si>
    <t xml:space="preserve"> МЫШИ.</t>
  </si>
  <si>
    <r>
      <t xml:space="preserve">Нажмите на левую клавишу мыши - </t>
    </r>
    <r>
      <rPr>
        <i/>
        <sz val="10"/>
        <rFont val="Arial Cyr"/>
        <family val="2"/>
      </rPr>
      <t>клетка окажется в рамке.</t>
    </r>
    <r>
      <rPr>
        <sz val="10"/>
        <rFont val="Arial Cyr"/>
        <family val="0"/>
      </rPr>
      <t xml:space="preserve"> Найдите в "Падающем меню" (вторая</t>
    </r>
  </si>
  <si>
    <t>гусеничный</t>
  </si>
  <si>
    <t>Эти данные используйте для построения кривой буксования.</t>
  </si>
  <si>
    <r>
      <t xml:space="preserve">Пример расчета для 1-ой передачи. Введите в соответствующие клетки значения </t>
    </r>
    <r>
      <rPr>
        <b/>
        <i/>
        <sz val="10"/>
        <rFont val="Arial Cyr"/>
        <family val="2"/>
      </rPr>
      <t>М</t>
    </r>
    <r>
      <rPr>
        <b/>
        <i/>
        <sz val="8"/>
        <rFont val="Arial Cyr"/>
        <family val="2"/>
      </rPr>
      <t xml:space="preserve">кн </t>
    </r>
    <r>
      <rPr>
        <b/>
        <i/>
        <sz val="10"/>
        <rFont val="Arial Cyr"/>
        <family val="2"/>
      </rPr>
      <t xml:space="preserve"> , i</t>
    </r>
    <r>
      <rPr>
        <b/>
        <i/>
        <sz val="8"/>
        <rFont val="Arial Cyr"/>
        <family val="2"/>
      </rPr>
      <t>тр1</t>
    </r>
    <r>
      <rPr>
        <b/>
        <i/>
        <sz val="10"/>
        <rFont val="Arial Cyr"/>
        <family val="2"/>
      </rPr>
      <t xml:space="preserve"> , </t>
    </r>
    <r>
      <rPr>
        <b/>
        <i/>
        <sz val="10"/>
        <rFont val="Symbol"/>
        <family val="1"/>
      </rPr>
      <t>h</t>
    </r>
    <r>
      <rPr>
        <b/>
        <sz val="8"/>
        <rFont val="Arial Cyr"/>
        <family val="2"/>
      </rPr>
      <t xml:space="preserve">тр, </t>
    </r>
    <r>
      <rPr>
        <b/>
        <i/>
        <sz val="10"/>
        <rFont val="Arial Cyr"/>
        <family val="2"/>
      </rPr>
      <t>r</t>
    </r>
    <r>
      <rPr>
        <b/>
        <i/>
        <sz val="8"/>
        <rFont val="Arial Cyr"/>
        <family val="2"/>
      </rPr>
      <t>к</t>
    </r>
  </si>
  <si>
    <r>
      <t>Р</t>
    </r>
    <r>
      <rPr>
        <sz val="8"/>
        <rFont val="Arial Cyr"/>
        <family val="2"/>
      </rPr>
      <t>кр,кН</t>
    </r>
  </si>
  <si>
    <t>3.3.4. Расчет теоретических скоростей по передачам</t>
  </si>
  <si>
    <r>
      <t>j</t>
    </r>
    <r>
      <rPr>
        <sz val="8"/>
        <rFont val="Arial Cyr"/>
        <family val="2"/>
      </rPr>
      <t>кр</t>
    </r>
  </si>
  <si>
    <r>
      <t xml:space="preserve">Формула расчета: </t>
    </r>
    <r>
      <rPr>
        <b/>
        <i/>
        <sz val="10"/>
        <rFont val="Arial Cyr"/>
        <family val="0"/>
      </rPr>
      <t>v</t>
    </r>
    <r>
      <rPr>
        <b/>
        <sz val="8"/>
        <rFont val="Arial Cyr"/>
        <family val="2"/>
      </rPr>
      <t>т</t>
    </r>
    <r>
      <rPr>
        <b/>
        <i/>
        <sz val="10"/>
        <rFont val="Arial Cyr"/>
        <family val="0"/>
      </rPr>
      <t xml:space="preserve"> = </t>
    </r>
    <r>
      <rPr>
        <b/>
        <i/>
        <sz val="10"/>
        <rFont val="Symbol"/>
        <family val="1"/>
      </rPr>
      <t>p</t>
    </r>
    <r>
      <rPr>
        <b/>
        <i/>
        <sz val="10"/>
        <rFont val="Arial Cyr"/>
        <family val="0"/>
      </rPr>
      <t>*n</t>
    </r>
    <r>
      <rPr>
        <b/>
        <sz val="8"/>
        <rFont val="Arial Cyr"/>
        <family val="2"/>
      </rPr>
      <t>д</t>
    </r>
    <r>
      <rPr>
        <b/>
        <i/>
        <sz val="10"/>
        <rFont val="Arial Cyr"/>
        <family val="0"/>
      </rPr>
      <t>*r</t>
    </r>
    <r>
      <rPr>
        <b/>
        <sz val="8"/>
        <rFont val="Arial Cyr"/>
        <family val="2"/>
      </rPr>
      <t>к</t>
    </r>
    <r>
      <rPr>
        <b/>
        <i/>
        <sz val="10"/>
        <rFont val="Arial Cyr"/>
        <family val="0"/>
      </rPr>
      <t xml:space="preserve"> / 30*i</t>
    </r>
    <r>
      <rPr>
        <b/>
        <sz val="8"/>
        <rFont val="Arial Cyr"/>
        <family val="2"/>
      </rPr>
      <t>тр</t>
    </r>
  </si>
  <si>
    <r>
      <t xml:space="preserve">     </t>
    </r>
    <r>
      <rPr>
        <b/>
        <sz val="10"/>
        <rFont val="Arial Cyr"/>
        <family val="2"/>
      </rPr>
      <t xml:space="preserve"> /30*</t>
    </r>
  </si>
  <si>
    <t>м/с</t>
  </si>
  <si>
    <t xml:space="preserve">Пример: расчет теоретической скорости для 1-ой передачи для частоты вращения двигателя </t>
  </si>
  <si>
    <t>на холостом ходу. Введите в клетки соответствующие данные.</t>
  </si>
  <si>
    <r>
      <t>v</t>
    </r>
    <r>
      <rPr>
        <b/>
        <sz val="8"/>
        <rFont val="Arial Cyr"/>
        <family val="2"/>
      </rPr>
      <t>т1</t>
    </r>
    <r>
      <rPr>
        <b/>
        <sz val="10"/>
        <rFont val="Arial Cyr"/>
        <family val="2"/>
      </rPr>
      <t>=</t>
    </r>
    <r>
      <rPr>
        <b/>
        <i/>
        <sz val="10"/>
        <rFont val="Arial Cyr"/>
        <family val="2"/>
      </rPr>
      <t>n</t>
    </r>
    <r>
      <rPr>
        <b/>
        <sz val="8"/>
        <rFont val="Arial Cyr"/>
        <family val="2"/>
      </rPr>
      <t>д хх</t>
    </r>
    <r>
      <rPr>
        <b/>
        <sz val="10"/>
        <rFont val="Arial Cyr"/>
        <family val="2"/>
      </rPr>
      <t>*</t>
    </r>
    <r>
      <rPr>
        <b/>
        <i/>
        <sz val="10"/>
        <rFont val="Arial Cyr"/>
        <family val="2"/>
      </rPr>
      <t>r</t>
    </r>
    <r>
      <rPr>
        <b/>
        <sz val="8"/>
        <rFont val="Arial Cyr"/>
        <family val="2"/>
      </rPr>
      <t>к</t>
    </r>
    <r>
      <rPr>
        <b/>
        <sz val="10"/>
        <rFont val="Arial Cyr"/>
        <family val="2"/>
      </rPr>
      <t>/30*</t>
    </r>
    <r>
      <rPr>
        <b/>
        <i/>
        <sz val="10"/>
        <rFont val="Arial Cyr"/>
        <family val="2"/>
      </rPr>
      <t>i</t>
    </r>
    <r>
      <rPr>
        <b/>
        <sz val="8"/>
        <rFont val="Arial Cyr"/>
        <family val="2"/>
      </rPr>
      <t>тр1  =</t>
    </r>
  </si>
  <si>
    <t>Остальные скорости по передачам прприведены в таблице</t>
  </si>
  <si>
    <r>
      <t>v</t>
    </r>
    <r>
      <rPr>
        <sz val="8"/>
        <rFont val="Arial Cyr"/>
        <family val="2"/>
      </rPr>
      <t>т мах</t>
    </r>
  </si>
  <si>
    <t>Пер. число</t>
  </si>
  <si>
    <t>3.3.5. Расчет действительных скоростей движения</t>
  </si>
  <si>
    <t>v</t>
  </si>
  <si>
    <t xml:space="preserve">Для примера дан расчет скорости на 1-ой передаче. Остальные будут представлены в отдельной табл. </t>
  </si>
  <si>
    <r>
      <t>v</t>
    </r>
    <r>
      <rPr>
        <sz val="8"/>
        <rFont val="Arial Cyr"/>
        <family val="2"/>
      </rPr>
      <t>т, м/с</t>
    </r>
  </si>
  <si>
    <t>v, м/с</t>
  </si>
  <si>
    <t>3.3.6. Расчет тяговой мощности</t>
  </si>
  <si>
    <t>Для примера проведем расчет на 1-й передаче при номинальном режиме работы двигателя</t>
  </si>
  <si>
    <r>
      <t xml:space="preserve">   </t>
    </r>
    <r>
      <rPr>
        <b/>
        <sz val="10"/>
        <rFont val="Arial Cyr"/>
        <family val="2"/>
      </rPr>
      <t xml:space="preserve"> *     (1-</t>
    </r>
  </si>
  <si>
    <r>
      <t>N</t>
    </r>
    <r>
      <rPr>
        <sz val="8"/>
        <rFont val="Arial Cyr"/>
        <family val="2"/>
      </rPr>
      <t>кр н1 =</t>
    </r>
  </si>
  <si>
    <t>Вставьте данные из табл. скоростей (см. выше)</t>
  </si>
  <si>
    <t>Остальные точки подсчитывают также, используя данные табл.</t>
  </si>
  <si>
    <t>3.3.7.Расчет удельного крюкового расхода топлива</t>
  </si>
  <si>
    <r>
      <t xml:space="preserve">Формула расчета:   </t>
    </r>
    <r>
      <rPr>
        <b/>
        <i/>
        <sz val="10"/>
        <rFont val="Arial Cyr"/>
        <family val="2"/>
      </rPr>
      <t>g</t>
    </r>
    <r>
      <rPr>
        <sz val="8"/>
        <rFont val="Arial Cyr"/>
        <family val="2"/>
      </rPr>
      <t>кр</t>
    </r>
    <r>
      <rPr>
        <b/>
        <i/>
        <sz val="10"/>
        <rFont val="Arial Cyr"/>
        <family val="2"/>
      </rPr>
      <t xml:space="preserve"> = G</t>
    </r>
    <r>
      <rPr>
        <sz val="8"/>
        <rFont val="Arial Cyr"/>
        <family val="2"/>
      </rPr>
      <t>т</t>
    </r>
    <r>
      <rPr>
        <b/>
        <i/>
        <sz val="10"/>
        <rFont val="Arial Cyr"/>
        <family val="2"/>
      </rPr>
      <t xml:space="preserve"> / N</t>
    </r>
    <r>
      <rPr>
        <sz val="8"/>
        <rFont val="Arial Cyr"/>
        <family val="2"/>
      </rPr>
      <t>кр.</t>
    </r>
  </si>
  <si>
    <r>
      <t xml:space="preserve">Для примера проведем расчет </t>
    </r>
    <r>
      <rPr>
        <b/>
        <i/>
        <sz val="10"/>
        <rFont val="Arial Cyr"/>
        <family val="2"/>
      </rPr>
      <t>g</t>
    </r>
    <r>
      <rPr>
        <sz val="8"/>
        <rFont val="Arial Cyr"/>
        <family val="2"/>
      </rPr>
      <t xml:space="preserve">е </t>
    </r>
    <r>
      <rPr>
        <sz val="10"/>
        <rFont val="Arial Cyr"/>
        <family val="2"/>
      </rPr>
      <t>для номинального режима для 1-ой передачи:</t>
    </r>
  </si>
  <si>
    <r>
      <t xml:space="preserve">Введите в клетки соответствующие  значения </t>
    </r>
    <r>
      <rPr>
        <b/>
        <i/>
        <sz val="10"/>
        <rFont val="Arial Cyr"/>
        <family val="2"/>
      </rPr>
      <t>G</t>
    </r>
    <r>
      <rPr>
        <sz val="8"/>
        <rFont val="Arial Cyr"/>
        <family val="2"/>
      </rPr>
      <t xml:space="preserve">тн  </t>
    </r>
    <r>
      <rPr>
        <sz val="10"/>
        <rFont val="Arial Cyr"/>
        <family val="2"/>
      </rPr>
      <t>и</t>
    </r>
    <r>
      <rPr>
        <sz val="10"/>
        <rFont val="Arial Cyr"/>
        <family val="0"/>
      </rPr>
      <t xml:space="preserve">  </t>
    </r>
    <r>
      <rPr>
        <b/>
        <i/>
        <sz val="10"/>
        <rFont val="Arial Cyr"/>
        <family val="2"/>
      </rPr>
      <t>N</t>
    </r>
    <r>
      <rPr>
        <sz val="8"/>
        <rFont val="Arial Cyr"/>
        <family val="2"/>
      </rPr>
      <t>кр н1.</t>
    </r>
  </si>
  <si>
    <t>г/кВт.ч</t>
  </si>
  <si>
    <r>
      <t xml:space="preserve">        </t>
    </r>
    <r>
      <rPr>
        <b/>
        <i/>
        <sz val="10"/>
        <rFont val="Arial Cyr"/>
        <family val="2"/>
      </rPr>
      <t>g</t>
    </r>
    <r>
      <rPr>
        <sz val="8"/>
        <rFont val="Arial Cyr"/>
        <family val="2"/>
      </rPr>
      <t>кр     =</t>
    </r>
  </si>
  <si>
    <t>остальные точки подсчитывают также , используя табл</t>
  </si>
  <si>
    <t>3.3.8. Сводная таблица для построения тяговой характеристики</t>
  </si>
  <si>
    <r>
      <t>1-я передача,   i</t>
    </r>
    <r>
      <rPr>
        <sz val="8"/>
        <rFont val="Arial Cyr"/>
        <family val="2"/>
      </rPr>
      <t>1</t>
    </r>
    <r>
      <rPr>
        <sz val="10"/>
        <rFont val="Arial Cyr"/>
        <family val="2"/>
      </rPr>
      <t xml:space="preserve"> =</t>
    </r>
  </si>
  <si>
    <r>
      <t>Р</t>
    </r>
    <r>
      <rPr>
        <sz val="8"/>
        <rFont val="Arial Cyr"/>
        <family val="2"/>
      </rPr>
      <t>к, кН</t>
    </r>
  </si>
  <si>
    <r>
      <t>Р</t>
    </r>
    <r>
      <rPr>
        <sz val="10"/>
        <rFont val="Arial Cyr"/>
        <family val="0"/>
      </rPr>
      <t>кр, кН</t>
    </r>
  </si>
  <si>
    <r>
      <t>v</t>
    </r>
    <r>
      <rPr>
        <sz val="10"/>
        <rFont val="Arial Cyr"/>
        <family val="0"/>
      </rPr>
      <t>, м/с</t>
    </r>
  </si>
  <si>
    <r>
      <t>N</t>
    </r>
    <r>
      <rPr>
        <sz val="8"/>
        <rFont val="Arial Cyr"/>
        <family val="2"/>
      </rPr>
      <t>кр</t>
    </r>
    <r>
      <rPr>
        <sz val="10"/>
        <rFont val="Arial Cyr"/>
        <family val="2"/>
      </rPr>
      <t>,кВт</t>
    </r>
  </si>
  <si>
    <r>
      <t>g</t>
    </r>
    <r>
      <rPr>
        <sz val="8"/>
        <rFont val="Arial Cyr"/>
        <family val="2"/>
      </rPr>
      <t>кр, г/кВт.ч</t>
    </r>
  </si>
  <si>
    <r>
      <t>h</t>
    </r>
    <r>
      <rPr>
        <sz val="8"/>
        <rFont val="Arial Cyr"/>
        <family val="2"/>
      </rPr>
      <t>т</t>
    </r>
  </si>
  <si>
    <r>
      <t>2 передача      i</t>
    </r>
    <r>
      <rPr>
        <sz val="8"/>
        <rFont val="Arial Cyr"/>
        <family val="2"/>
      </rPr>
      <t>2</t>
    </r>
    <r>
      <rPr>
        <sz val="10"/>
        <rFont val="Arial Cyr"/>
        <family val="2"/>
      </rPr>
      <t xml:space="preserve"> =</t>
    </r>
  </si>
  <si>
    <r>
      <t>3-я передача   i</t>
    </r>
    <r>
      <rPr>
        <sz val="8"/>
        <rFont val="Arial Cyr"/>
        <family val="2"/>
      </rPr>
      <t>3</t>
    </r>
    <r>
      <rPr>
        <sz val="10"/>
        <rFont val="Arial Cyr"/>
        <family val="2"/>
      </rPr>
      <t xml:space="preserve"> =</t>
    </r>
  </si>
  <si>
    <r>
      <t>4-я передача   i</t>
    </r>
    <r>
      <rPr>
        <sz val="8"/>
        <rFont val="Arial Cyr"/>
        <family val="2"/>
      </rPr>
      <t>4</t>
    </r>
    <r>
      <rPr>
        <sz val="10"/>
        <rFont val="Arial Cyr"/>
        <family val="2"/>
      </rPr>
      <t xml:space="preserve"> =</t>
    </r>
  </si>
  <si>
    <r>
      <t>5-я передача   i</t>
    </r>
    <r>
      <rPr>
        <sz val="8"/>
        <rFont val="Arial Cyr"/>
        <family val="2"/>
      </rPr>
      <t>5</t>
    </r>
    <r>
      <rPr>
        <sz val="10"/>
        <rFont val="Arial Cyr"/>
        <family val="2"/>
      </rPr>
      <t xml:space="preserve"> =</t>
    </r>
  </si>
  <si>
    <r>
      <t>6-я передача   i</t>
    </r>
    <r>
      <rPr>
        <sz val="8"/>
        <rFont val="Arial Cyr"/>
        <family val="2"/>
      </rPr>
      <t>6</t>
    </r>
    <r>
      <rPr>
        <sz val="10"/>
        <rFont val="Arial Cyr"/>
        <family val="2"/>
      </rPr>
      <t xml:space="preserve"> =</t>
    </r>
  </si>
  <si>
    <r>
      <t>7-я передача   i</t>
    </r>
    <r>
      <rPr>
        <sz val="8"/>
        <rFont val="Arial Cyr"/>
        <family val="2"/>
      </rPr>
      <t>7</t>
    </r>
    <r>
      <rPr>
        <sz val="10"/>
        <rFont val="Arial Cyr"/>
        <family val="2"/>
      </rPr>
      <t xml:space="preserve"> =</t>
    </r>
  </si>
  <si>
    <r>
      <t>G</t>
    </r>
    <r>
      <rPr>
        <sz val="8"/>
        <rFont val="Arial Cyr"/>
        <family val="2"/>
      </rPr>
      <t>тр, кН</t>
    </r>
  </si>
  <si>
    <r>
      <t>N</t>
    </r>
    <r>
      <rPr>
        <sz val="8"/>
        <rFont val="Arial Cyr"/>
        <family val="2"/>
      </rPr>
      <t>ен, кВт</t>
    </r>
  </si>
  <si>
    <r>
      <t>n</t>
    </r>
    <r>
      <rPr>
        <sz val="8"/>
        <rFont val="Arial Cyr"/>
        <family val="2"/>
      </rPr>
      <t>дн, об/мин</t>
    </r>
  </si>
  <si>
    <r>
      <t>g</t>
    </r>
    <r>
      <rPr>
        <sz val="8"/>
        <rFont val="Arial Cyr"/>
        <family val="2"/>
      </rPr>
      <t>е,г/кВт.ч</t>
    </r>
  </si>
  <si>
    <r>
      <t>P</t>
    </r>
    <r>
      <rPr>
        <sz val="8"/>
        <rFont val="Arial Cyr"/>
        <family val="2"/>
      </rPr>
      <t>кр н,кН</t>
    </r>
  </si>
  <si>
    <r>
      <t>f</t>
    </r>
    <r>
      <rPr>
        <sz val="8"/>
        <rFont val="Arial Cyr"/>
        <family val="2"/>
      </rPr>
      <t>к</t>
    </r>
  </si>
  <si>
    <r>
      <t>j</t>
    </r>
    <r>
      <rPr>
        <sz val="8"/>
        <rFont val="Arial Cyr"/>
        <family val="2"/>
      </rPr>
      <t>к</t>
    </r>
  </si>
  <si>
    <r>
      <t>r</t>
    </r>
    <r>
      <rPr>
        <sz val="8"/>
        <rFont val="Arial Cyr"/>
        <family val="2"/>
      </rPr>
      <t>к, м</t>
    </r>
  </si>
  <si>
    <r>
      <t>M</t>
    </r>
    <r>
      <rPr>
        <sz val="8"/>
        <rFont val="Arial Cyr"/>
        <family val="2"/>
      </rPr>
      <t xml:space="preserve">кн, </t>
    </r>
    <r>
      <rPr>
        <sz val="10"/>
        <rFont val="Arial Cyr"/>
        <family val="2"/>
      </rPr>
      <t>Н</t>
    </r>
  </si>
  <si>
    <t>График для построения Тяг. Мощности</t>
  </si>
  <si>
    <r>
      <t>P</t>
    </r>
    <r>
      <rPr>
        <sz val="8"/>
        <rFont val="Arial Cyr"/>
        <family val="2"/>
      </rPr>
      <t>кр</t>
    </r>
  </si>
  <si>
    <t>N</t>
  </si>
  <si>
    <r>
      <t xml:space="preserve">Формула расчета: </t>
    </r>
    <r>
      <rPr>
        <b/>
        <i/>
        <sz val="10"/>
        <rFont val="Arial Cyr"/>
        <family val="0"/>
      </rPr>
      <t xml:space="preserve"> N</t>
    </r>
    <r>
      <rPr>
        <sz val="8"/>
        <rFont val="Arial Cyr"/>
        <family val="2"/>
      </rPr>
      <t>кр</t>
    </r>
    <r>
      <rPr>
        <b/>
        <i/>
        <sz val="10"/>
        <rFont val="Arial Cyr"/>
        <family val="0"/>
      </rPr>
      <t xml:space="preserve"> = P</t>
    </r>
    <r>
      <rPr>
        <sz val="8"/>
        <rFont val="Arial Cyr"/>
        <family val="2"/>
      </rPr>
      <t>кр</t>
    </r>
    <r>
      <rPr>
        <b/>
        <i/>
        <sz val="8"/>
        <rFont val="Arial Cyr"/>
        <family val="2"/>
      </rPr>
      <t>*</t>
    </r>
    <r>
      <rPr>
        <b/>
        <i/>
        <sz val="10"/>
        <rFont val="Arial Cyr"/>
        <family val="0"/>
      </rPr>
      <t xml:space="preserve"> v</t>
    </r>
    <r>
      <rPr>
        <sz val="8"/>
        <rFont val="Arial Cyr"/>
        <family val="2"/>
      </rPr>
      <t>т</t>
    </r>
    <r>
      <rPr>
        <b/>
        <i/>
        <sz val="8"/>
        <rFont val="Arial Cyr"/>
        <family val="2"/>
      </rPr>
      <t>*</t>
    </r>
    <r>
      <rPr>
        <b/>
        <i/>
        <sz val="10"/>
        <rFont val="Arial Cyr"/>
        <family val="0"/>
      </rPr>
      <t xml:space="preserve"> (1-</t>
    </r>
    <r>
      <rPr>
        <b/>
        <i/>
        <sz val="8"/>
        <rFont val="Arial Cyr"/>
        <family val="2"/>
      </rPr>
      <t>*</t>
    </r>
    <r>
      <rPr>
        <b/>
        <i/>
        <sz val="10"/>
        <rFont val="Symbol"/>
        <family val="1"/>
      </rPr>
      <t>d</t>
    </r>
    <r>
      <rPr>
        <b/>
        <i/>
        <sz val="10"/>
        <rFont val="Arial Cyr"/>
        <family val="0"/>
      </rPr>
      <t xml:space="preserve">  )</t>
    </r>
  </si>
  <si>
    <t xml:space="preserve"> )     =</t>
  </si>
  <si>
    <r>
      <t xml:space="preserve">  </t>
    </r>
    <r>
      <rPr>
        <b/>
        <i/>
        <sz val="10"/>
        <rFont val="Arial Cyr"/>
        <family val="2"/>
      </rPr>
      <t>Р</t>
    </r>
    <r>
      <rPr>
        <sz val="8"/>
        <rFont val="Arial Cyr"/>
        <family val="2"/>
      </rPr>
      <t>кр н</t>
    </r>
    <r>
      <rPr>
        <b/>
        <sz val="8"/>
        <rFont val="Arial Cyr"/>
        <family val="2"/>
      </rPr>
      <t xml:space="preserve"> </t>
    </r>
    <r>
      <rPr>
        <sz val="10"/>
        <rFont val="Arial Cyr"/>
        <family val="2"/>
      </rPr>
      <t>=</t>
    </r>
  </si>
  <si>
    <t>Запишите это число</t>
  </si>
  <si>
    <t>Введите в желтую клетку выбранное Вами число передач z.</t>
  </si>
  <si>
    <r>
      <t>Запишите значения N</t>
    </r>
    <r>
      <rPr>
        <sz val="8"/>
        <rFont val="Arial Cyr"/>
        <family val="2"/>
      </rPr>
      <t>эн</t>
    </r>
    <r>
      <rPr>
        <sz val="10"/>
        <rFont val="Arial Cyr"/>
        <family val="2"/>
      </rPr>
      <t xml:space="preserve"> и</t>
    </r>
    <r>
      <rPr>
        <sz val="10"/>
        <rFont val="Arial Cyr"/>
        <family val="0"/>
      </rPr>
      <t xml:space="preserve">  P</t>
    </r>
    <r>
      <rPr>
        <sz val="8"/>
        <rFont val="Arial Cyr"/>
        <family val="2"/>
      </rPr>
      <t>f</t>
    </r>
  </si>
  <si>
    <t xml:space="preserve">                     Тяговый расчет трактора</t>
  </si>
  <si>
    <t>1.1. Расчет веса трактора</t>
  </si>
  <si>
    <t>Запишите это значение</t>
  </si>
  <si>
    <r>
      <t xml:space="preserve">Формула расчета: ( для колесного трактора примите </t>
    </r>
    <r>
      <rPr>
        <b/>
        <i/>
        <sz val="10"/>
        <rFont val="Symbol"/>
        <family val="1"/>
      </rPr>
      <t>h</t>
    </r>
    <r>
      <rPr>
        <sz val="8"/>
        <rFont val="Arial Cyr"/>
        <family val="2"/>
      </rPr>
      <t>г</t>
    </r>
    <r>
      <rPr>
        <sz val="10"/>
        <rFont val="Arial Cyr"/>
        <family val="2"/>
      </rPr>
      <t xml:space="preserve"> =1)</t>
    </r>
  </si>
  <si>
    <r>
      <t xml:space="preserve"> </t>
    </r>
    <r>
      <rPr>
        <b/>
        <sz val="10"/>
        <rFont val="Arial Cyr"/>
        <family val="2"/>
      </rPr>
      <t xml:space="preserve">  </t>
    </r>
    <r>
      <rPr>
        <b/>
        <i/>
        <sz val="10"/>
        <rFont val="Arial Cyr"/>
        <family val="2"/>
      </rPr>
      <t>N</t>
    </r>
    <r>
      <rPr>
        <sz val="8"/>
        <rFont val="Arial Cyr"/>
        <family val="2"/>
      </rPr>
      <t>нэ</t>
    </r>
    <r>
      <rPr>
        <b/>
        <sz val="10"/>
        <rFont val="Arial Cyr"/>
        <family val="2"/>
      </rPr>
      <t xml:space="preserve">  =</t>
    </r>
  </si>
  <si>
    <r>
      <t xml:space="preserve"> </t>
    </r>
    <r>
      <rPr>
        <b/>
        <i/>
        <sz val="10"/>
        <rFont val="Symbol"/>
        <family val="1"/>
      </rPr>
      <t>h</t>
    </r>
    <r>
      <rPr>
        <sz val="8"/>
        <rFont val="Arial Cyr"/>
        <family val="2"/>
      </rPr>
      <t>тр</t>
    </r>
    <r>
      <rPr>
        <b/>
        <sz val="10"/>
        <rFont val="Symbol"/>
        <family val="1"/>
      </rPr>
      <t>*</t>
    </r>
    <r>
      <rPr>
        <b/>
        <i/>
        <sz val="10"/>
        <rFont val="Symbol"/>
        <family val="1"/>
      </rPr>
      <t>h</t>
    </r>
    <r>
      <rPr>
        <sz val="8"/>
        <rFont val="Arial Cyr"/>
        <family val="2"/>
      </rPr>
      <t>г</t>
    </r>
    <r>
      <rPr>
        <b/>
        <sz val="10"/>
        <rFont val="Symbol"/>
        <family val="1"/>
      </rPr>
      <t>(1-</t>
    </r>
    <r>
      <rPr>
        <b/>
        <i/>
        <sz val="10"/>
        <rFont val="Symbol"/>
        <family val="1"/>
      </rPr>
      <t>d</t>
    </r>
    <r>
      <rPr>
        <sz val="8"/>
        <rFont val="Arial Cyr"/>
        <family val="2"/>
      </rPr>
      <t>н</t>
    </r>
    <r>
      <rPr>
        <b/>
        <sz val="10"/>
        <rFont val="Symbol"/>
        <family val="1"/>
      </rPr>
      <t>)</t>
    </r>
  </si>
  <si>
    <t>1.2. Расчет механического КПД трансмиссии</t>
  </si>
  <si>
    <t>1.3. Расчет номинальной эксплуатационной мощности двигателя</t>
  </si>
  <si>
    <t>1.4. Расчет регуляторной характеристики двигателя</t>
  </si>
  <si>
    <t>1.5. Расчет передаточных чисел трансмиссии</t>
  </si>
  <si>
    <t>2. Расчет теоретической тяговой характеристики трактора</t>
  </si>
  <si>
    <t>2.1. Расчет касательной силы тяги по передачам</t>
  </si>
  <si>
    <t>Проверка по энергонасыщености:</t>
  </si>
  <si>
    <r>
      <t>Э</t>
    </r>
    <r>
      <rPr>
        <sz val="8"/>
        <rFont val="Arial Cyr"/>
        <family val="2"/>
      </rPr>
      <t>тр</t>
    </r>
    <r>
      <rPr>
        <sz val="10"/>
        <rFont val="Arial Cyr"/>
        <family val="2"/>
      </rPr>
      <t xml:space="preserve"> =</t>
    </r>
    <r>
      <rPr>
        <b/>
        <i/>
        <sz val="10"/>
        <rFont val="Arial Cyr"/>
        <family val="2"/>
      </rPr>
      <t>N</t>
    </r>
    <r>
      <rPr>
        <sz val="8"/>
        <rFont val="Arial Cyr"/>
        <family val="2"/>
      </rPr>
      <t>нэ</t>
    </r>
    <r>
      <rPr>
        <sz val="10"/>
        <rFont val="Arial Cyr"/>
        <family val="2"/>
      </rPr>
      <t xml:space="preserve"> / </t>
    </r>
    <r>
      <rPr>
        <b/>
        <i/>
        <sz val="10"/>
        <rFont val="Arial Cyr"/>
        <family val="2"/>
      </rPr>
      <t>G</t>
    </r>
    <r>
      <rPr>
        <sz val="8"/>
        <rFont val="Arial Cyr"/>
        <family val="2"/>
      </rPr>
      <t>тр</t>
    </r>
    <r>
      <rPr>
        <sz val="10"/>
        <rFont val="Arial Cyr"/>
        <family val="2"/>
      </rPr>
      <t xml:space="preserve"> =</t>
    </r>
  </si>
  <si>
    <t xml:space="preserve">            =</t>
  </si>
  <si>
    <t>Введите в клетки данные</t>
  </si>
  <si>
    <t>Сопоставьте с допускаемыми</t>
  </si>
  <si>
    <t>величинами (метод., раздел 1.3)</t>
  </si>
  <si>
    <r>
      <t xml:space="preserve">Для просмотра </t>
    </r>
    <r>
      <rPr>
        <i/>
        <sz val="10"/>
        <rFont val="Arial Cyr"/>
        <family val="2"/>
      </rPr>
      <t>тяговой характеристики щелкните мышью на кнопку</t>
    </r>
    <r>
      <rPr>
        <b/>
        <i/>
        <sz val="10"/>
        <rFont val="Arial Cyr"/>
        <family val="2"/>
      </rPr>
      <t xml:space="preserve"> "Лист 2" (внизу экрана)</t>
    </r>
  </si>
  <si>
    <t>Введите в клетки таблицы исходные данные:</t>
  </si>
  <si>
    <r>
      <t xml:space="preserve">   Величина Р</t>
    </r>
    <r>
      <rPr>
        <sz val="8"/>
        <rFont val="Arial Cyr"/>
        <family val="2"/>
      </rPr>
      <t>f</t>
    </r>
    <r>
      <rPr>
        <sz val="10"/>
        <rFont val="Arial Cyr"/>
        <family val="0"/>
      </rPr>
      <t xml:space="preserve"> определяется </t>
    </r>
  </si>
  <si>
    <t>по уравнению:</t>
  </si>
  <si>
    <r>
      <t xml:space="preserve">                       </t>
    </r>
    <r>
      <rPr>
        <b/>
        <sz val="10"/>
        <rFont val="Arial Cyr"/>
        <family val="2"/>
      </rPr>
      <t xml:space="preserve"> </t>
    </r>
    <r>
      <rPr>
        <b/>
        <i/>
        <sz val="10"/>
        <rFont val="Arial Cyr"/>
        <family val="2"/>
      </rPr>
      <t>Р</t>
    </r>
    <r>
      <rPr>
        <b/>
        <sz val="8"/>
        <rFont val="Arial Cyr"/>
        <family val="2"/>
      </rPr>
      <t>f</t>
    </r>
    <r>
      <rPr>
        <b/>
        <sz val="10"/>
        <rFont val="Arial Cyr"/>
        <family val="2"/>
      </rPr>
      <t xml:space="preserve">  = </t>
    </r>
    <r>
      <rPr>
        <b/>
        <i/>
        <sz val="10"/>
        <rFont val="Arial Cyr"/>
        <family val="2"/>
      </rPr>
      <t xml:space="preserve">f </t>
    </r>
    <r>
      <rPr>
        <b/>
        <sz val="8"/>
        <rFont val="Arial Cyr"/>
        <family val="2"/>
      </rPr>
      <t>к</t>
    </r>
    <r>
      <rPr>
        <b/>
        <sz val="10"/>
        <rFont val="Arial Cyr"/>
        <family val="2"/>
      </rPr>
      <t>*</t>
    </r>
    <r>
      <rPr>
        <b/>
        <i/>
        <sz val="10"/>
        <rFont val="Arial Cyr"/>
        <family val="2"/>
      </rPr>
      <t>G</t>
    </r>
    <r>
      <rPr>
        <b/>
        <sz val="8"/>
        <rFont val="Arial Cyr"/>
        <family val="2"/>
      </rPr>
      <t>тр =</t>
    </r>
  </si>
  <si>
    <r>
      <t xml:space="preserve">Формула расчета:  </t>
    </r>
    <r>
      <rPr>
        <b/>
        <i/>
        <sz val="10"/>
        <rFont val="Arial Cyr"/>
        <family val="2"/>
      </rPr>
      <t>Р</t>
    </r>
    <r>
      <rPr>
        <sz val="10"/>
        <rFont val="Arial Cyr"/>
        <family val="2"/>
      </rPr>
      <t>к</t>
    </r>
    <r>
      <rPr>
        <i/>
        <sz val="10"/>
        <rFont val="Arial Cyr"/>
        <family val="2"/>
      </rPr>
      <t xml:space="preserve">  =</t>
    </r>
    <r>
      <rPr>
        <b/>
        <i/>
        <sz val="10"/>
        <rFont val="Arial Cyr"/>
        <family val="2"/>
      </rPr>
      <t xml:space="preserve"> М</t>
    </r>
    <r>
      <rPr>
        <sz val="10"/>
        <rFont val="Arial Cyr"/>
        <family val="2"/>
      </rPr>
      <t>к</t>
    </r>
    <r>
      <rPr>
        <i/>
        <sz val="10"/>
        <rFont val="Arial Cyr"/>
        <family val="2"/>
      </rPr>
      <t xml:space="preserve"> *</t>
    </r>
    <r>
      <rPr>
        <b/>
        <i/>
        <sz val="10"/>
        <rFont val="Arial Cyr"/>
        <family val="2"/>
      </rPr>
      <t>i</t>
    </r>
    <r>
      <rPr>
        <sz val="10"/>
        <rFont val="Arial Cyr"/>
        <family val="2"/>
      </rPr>
      <t>тр*</t>
    </r>
    <r>
      <rPr>
        <b/>
        <i/>
        <sz val="10"/>
        <rFont val="Symbol"/>
        <family val="1"/>
      </rPr>
      <t>h</t>
    </r>
    <r>
      <rPr>
        <sz val="10"/>
        <rFont val="Arial Cyr"/>
        <family val="2"/>
      </rPr>
      <t>тр</t>
    </r>
    <r>
      <rPr>
        <i/>
        <sz val="10"/>
        <rFont val="Arial Cyr"/>
        <family val="2"/>
      </rPr>
      <t>/</t>
    </r>
    <r>
      <rPr>
        <b/>
        <i/>
        <sz val="10"/>
        <rFont val="Arial Cyr"/>
        <family val="2"/>
      </rPr>
      <t>r</t>
    </r>
    <r>
      <rPr>
        <sz val="10"/>
        <rFont val="Arial Cyr"/>
        <family val="2"/>
      </rPr>
      <t>к</t>
    </r>
    <r>
      <rPr>
        <sz val="10"/>
        <rFont val="Arial Cyr"/>
        <family val="0"/>
      </rPr>
      <t>,   для номинального режима:</t>
    </r>
  </si>
  <si>
    <r>
      <t>Р</t>
    </r>
    <r>
      <rPr>
        <sz val="8"/>
        <rFont val="Arial Cyr"/>
        <family val="2"/>
      </rPr>
      <t>к н</t>
    </r>
    <r>
      <rPr>
        <b/>
        <i/>
        <sz val="10"/>
        <rFont val="Arial Cyr"/>
        <family val="2"/>
      </rPr>
      <t xml:space="preserve"> = М</t>
    </r>
    <r>
      <rPr>
        <b/>
        <sz val="8"/>
        <rFont val="Arial Cyr"/>
        <family val="2"/>
      </rPr>
      <t>кн</t>
    </r>
    <r>
      <rPr>
        <b/>
        <i/>
        <sz val="10"/>
        <rFont val="Arial Cyr"/>
        <family val="2"/>
      </rPr>
      <t xml:space="preserve"> *i</t>
    </r>
    <r>
      <rPr>
        <b/>
        <sz val="8"/>
        <rFont val="Arial Cyr"/>
        <family val="2"/>
      </rPr>
      <t>тр</t>
    </r>
    <r>
      <rPr>
        <b/>
        <i/>
        <sz val="10"/>
        <rFont val="Symbol"/>
        <family val="1"/>
      </rPr>
      <t>h</t>
    </r>
    <r>
      <rPr>
        <b/>
        <sz val="8"/>
        <rFont val="Arial Cyr"/>
        <family val="2"/>
      </rPr>
      <t>тр</t>
    </r>
    <r>
      <rPr>
        <b/>
        <i/>
        <sz val="10"/>
        <rFont val="Arial Cyr"/>
        <family val="2"/>
      </rPr>
      <t>/r</t>
    </r>
    <r>
      <rPr>
        <b/>
        <i/>
        <sz val="8"/>
        <rFont val="Arial Cyr"/>
        <family val="2"/>
      </rPr>
      <t>к</t>
    </r>
  </si>
  <si>
    <t>1 мост</t>
  </si>
  <si>
    <t>2 мост</t>
  </si>
  <si>
    <t>30 *</t>
  </si>
  <si>
    <t>,,,</t>
  </si>
  <si>
    <t>Н</t>
  </si>
  <si>
    <r>
      <t>Р</t>
    </r>
    <r>
      <rPr>
        <sz val="8"/>
        <rFont val="Arial Cyr"/>
        <family val="2"/>
      </rPr>
      <t>к н</t>
    </r>
    <r>
      <rPr>
        <b/>
        <sz val="8"/>
        <rFont val="Arial Cyr"/>
        <family val="2"/>
      </rPr>
      <t>,</t>
    </r>
    <r>
      <rPr>
        <b/>
        <sz val="10"/>
        <rFont val="Arial Cyr"/>
        <family val="2"/>
      </rPr>
      <t xml:space="preserve"> k</t>
    </r>
    <r>
      <rPr>
        <sz val="10"/>
        <rFont val="Arial Cyr"/>
        <family val="2"/>
      </rPr>
      <t>Н</t>
    </r>
  </si>
  <si>
    <r>
      <t xml:space="preserve">строчка сверху на экране) </t>
    </r>
    <r>
      <rPr>
        <i/>
        <sz val="10"/>
        <rFont val="Arial Cyr"/>
        <family val="2"/>
      </rPr>
      <t xml:space="preserve">пиктограмму </t>
    </r>
    <r>
      <rPr>
        <b/>
        <i/>
        <sz val="10"/>
        <rFont val="Arial Cyr"/>
        <family val="2"/>
      </rPr>
      <t>"2 листочка"</t>
    </r>
    <r>
      <rPr>
        <i/>
        <sz val="10"/>
        <rFont val="Arial Cyr"/>
        <family val="2"/>
      </rPr>
      <t xml:space="preserve">- </t>
    </r>
    <r>
      <rPr>
        <sz val="10"/>
        <rFont val="Arial Cyr"/>
        <family val="2"/>
      </rPr>
      <t>это команда</t>
    </r>
    <r>
      <rPr>
        <i/>
        <sz val="10"/>
        <rFont val="Arial Cyr"/>
        <family val="2"/>
      </rPr>
      <t xml:space="preserve"> "копировать"</t>
    </r>
    <r>
      <rPr>
        <sz val="10"/>
        <rFont val="Arial Cyr"/>
        <family val="0"/>
      </rPr>
      <t>. Щелкните левой клавишей</t>
    </r>
  </si>
  <si>
    <t>кВт/кН</t>
  </si>
  <si>
    <r>
      <t>p*</t>
    </r>
    <r>
      <rPr>
        <b/>
        <i/>
        <sz val="10"/>
        <rFont val="Arial Cyr"/>
        <family val="2"/>
      </rPr>
      <t>n</t>
    </r>
    <r>
      <rPr>
        <b/>
        <i/>
        <sz val="8"/>
        <rFont val="Arial Cyr"/>
        <family val="2"/>
      </rPr>
      <t>дн</t>
    </r>
    <r>
      <rPr>
        <b/>
        <i/>
        <sz val="10"/>
        <rFont val="Arial Cyr"/>
        <family val="2"/>
      </rPr>
      <t>*r</t>
    </r>
    <r>
      <rPr>
        <b/>
        <i/>
        <sz val="8"/>
        <rFont val="Arial Cyr"/>
        <family val="2"/>
      </rPr>
      <t>к</t>
    </r>
  </si>
  <si>
    <r>
      <t xml:space="preserve">Ввведите в клетки значения </t>
    </r>
    <r>
      <rPr>
        <i/>
        <sz val="10"/>
        <rFont val="Arial Cyr"/>
        <family val="2"/>
      </rPr>
      <t>n</t>
    </r>
    <r>
      <rPr>
        <i/>
        <sz val="8"/>
        <rFont val="Arial Cyr"/>
        <family val="2"/>
      </rPr>
      <t>дн</t>
    </r>
    <r>
      <rPr>
        <sz val="10"/>
        <rFont val="Arial Cyr"/>
        <family val="0"/>
      </rPr>
      <t xml:space="preserve">  (об/мин), радиуса колеса </t>
    </r>
    <r>
      <rPr>
        <i/>
        <sz val="10"/>
        <rFont val="Arial Cyr"/>
        <family val="2"/>
      </rPr>
      <t>r</t>
    </r>
    <r>
      <rPr>
        <i/>
        <sz val="8"/>
        <rFont val="Arial Cyr"/>
        <family val="2"/>
      </rPr>
      <t xml:space="preserve">к </t>
    </r>
    <r>
      <rPr>
        <sz val="10"/>
        <rFont val="Arial Cyr"/>
        <family val="0"/>
      </rPr>
      <t xml:space="preserve">(м) и </t>
    </r>
    <r>
      <rPr>
        <b/>
        <i/>
        <sz val="10"/>
        <rFont val="Arial Cyr"/>
        <family val="2"/>
      </rPr>
      <t>теоретические скорости</t>
    </r>
    <r>
      <rPr>
        <i/>
        <sz val="10"/>
        <rFont val="Arial Cyr"/>
        <family val="2"/>
      </rPr>
      <t xml:space="preserve"> v</t>
    </r>
    <r>
      <rPr>
        <i/>
        <sz val="8"/>
        <rFont val="Arial Cyr"/>
        <family val="2"/>
      </rPr>
      <t>т1</t>
    </r>
    <r>
      <rPr>
        <sz val="10"/>
        <rFont val="Arial Cyr"/>
        <family val="0"/>
      </rPr>
      <t xml:space="preserve"> </t>
    </r>
  </si>
  <si>
    <r>
      <t>(</t>
    </r>
    <r>
      <rPr>
        <b/>
        <i/>
        <sz val="10"/>
        <rFont val="Arial Cyr"/>
        <family val="2"/>
      </rPr>
      <t>P</t>
    </r>
    <r>
      <rPr>
        <sz val="8"/>
        <rFont val="Arial Cyr"/>
        <family val="2"/>
      </rPr>
      <t>кр н</t>
    </r>
    <r>
      <rPr>
        <b/>
        <sz val="10"/>
        <rFont val="Arial Cyr"/>
        <family val="2"/>
      </rPr>
      <t>+</t>
    </r>
    <r>
      <rPr>
        <b/>
        <i/>
        <sz val="10"/>
        <rFont val="Arial Cyr"/>
        <family val="2"/>
      </rPr>
      <t>P</t>
    </r>
    <r>
      <rPr>
        <sz val="8"/>
        <rFont val="Arial Cyr"/>
        <family val="2"/>
      </rPr>
      <t>f</t>
    </r>
    <r>
      <rPr>
        <b/>
        <sz val="10"/>
        <rFont val="Arial Cyr"/>
        <family val="2"/>
      </rPr>
      <t>)</t>
    </r>
    <r>
      <rPr>
        <b/>
        <i/>
        <sz val="10"/>
        <rFont val="Arial Cyr"/>
        <family val="2"/>
      </rPr>
      <t>v</t>
    </r>
  </si>
  <si>
    <r>
      <t xml:space="preserve">        </t>
    </r>
    <r>
      <rPr>
        <b/>
        <sz val="10"/>
        <rFont val="Arial Cyr"/>
        <family val="2"/>
      </rPr>
      <t xml:space="preserve">        (</t>
    </r>
  </si>
  <si>
    <t>Радиус ведущей звездочки гусеничного трактора см. Ч.1 пособия (формула 9а).</t>
  </si>
  <si>
    <r>
      <t>Радиус колеса равен  r</t>
    </r>
    <r>
      <rPr>
        <sz val="8"/>
        <rFont val="Arial Cyr"/>
        <family val="2"/>
      </rPr>
      <t>к</t>
    </r>
    <r>
      <rPr>
        <sz val="10"/>
        <rFont val="Arial Cyr"/>
        <family val="0"/>
      </rPr>
      <t xml:space="preserve"> =(0,85…0,9)D.</t>
    </r>
  </si>
  <si>
    <t xml:space="preserve"> - смотри ГОСТ</t>
  </si>
  <si>
    <t>на низшей и vтz на высшей передачах (м/с):</t>
  </si>
  <si>
    <r>
      <t>v</t>
    </r>
    <r>
      <rPr>
        <sz val="8"/>
        <rFont val="Arial Cyr"/>
        <family val="2"/>
      </rPr>
      <t xml:space="preserve">т </t>
    </r>
    <r>
      <rPr>
        <sz val="10"/>
        <rFont val="Arial Cyr"/>
        <family val="0"/>
      </rPr>
      <t>=</t>
    </r>
    <r>
      <rPr>
        <b/>
        <i/>
        <sz val="10"/>
        <rFont val="Arial Cyr"/>
        <family val="2"/>
      </rPr>
      <t xml:space="preserve"> v</t>
    </r>
    <r>
      <rPr>
        <sz val="10"/>
        <rFont val="Arial Cyr"/>
        <family val="0"/>
      </rPr>
      <t>/</t>
    </r>
    <r>
      <rPr>
        <b/>
        <sz val="10"/>
        <rFont val="Arial Cyr"/>
        <family val="0"/>
      </rPr>
      <t>(1-</t>
    </r>
    <r>
      <rPr>
        <b/>
        <i/>
        <sz val="10"/>
        <rFont val="Symbol"/>
        <family val="1"/>
      </rPr>
      <t>d</t>
    </r>
    <r>
      <rPr>
        <sz val="8"/>
        <rFont val="Arial Cyr"/>
        <family val="2"/>
      </rPr>
      <t>н</t>
    </r>
    <r>
      <rPr>
        <b/>
        <sz val="10"/>
        <rFont val="Arial Cyr"/>
        <family val="2"/>
      </rPr>
      <t>)</t>
    </r>
    <r>
      <rPr>
        <sz val="10"/>
        <rFont val="Arial Cyr"/>
        <family val="2"/>
      </rPr>
      <t>.</t>
    </r>
  </si>
  <si>
    <r>
      <t>График для построения Р</t>
    </r>
    <r>
      <rPr>
        <sz val="8"/>
        <rFont val="Arial Cyr"/>
        <family val="2"/>
      </rPr>
      <t>к</t>
    </r>
  </si>
  <si>
    <t>скорости от n</t>
  </si>
  <si>
    <t>g</t>
  </si>
  <si>
    <t>G</t>
  </si>
  <si>
    <t>Гусен</t>
  </si>
  <si>
    <r>
      <t>G</t>
    </r>
    <r>
      <rPr>
        <b/>
        <sz val="8"/>
        <rFont val="Arial Cyr"/>
        <family val="2"/>
      </rPr>
      <t>тр</t>
    </r>
    <r>
      <rPr>
        <b/>
        <sz val="10"/>
        <rFont val="Arial Cyr"/>
        <family val="0"/>
      </rPr>
      <t xml:space="preserve"> =Р</t>
    </r>
    <r>
      <rPr>
        <b/>
        <sz val="8"/>
        <rFont val="Arial Cyr"/>
        <family val="2"/>
      </rPr>
      <t>кр н</t>
    </r>
    <r>
      <rPr>
        <b/>
        <sz val="10"/>
        <rFont val="Arial Cyr"/>
        <family val="0"/>
      </rPr>
      <t>/</t>
    </r>
    <r>
      <rPr>
        <b/>
        <sz val="10"/>
        <rFont val="Symbol"/>
        <family val="1"/>
      </rPr>
      <t xml:space="preserve">j </t>
    </r>
    <r>
      <rPr>
        <b/>
        <sz val="8"/>
        <rFont val="Times New Roman Cyr"/>
        <family val="1"/>
      </rPr>
      <t>кр</t>
    </r>
    <r>
      <rPr>
        <b/>
        <sz val="8"/>
        <rFont val="Symbol"/>
        <family val="1"/>
      </rPr>
      <t xml:space="preserve">   </t>
    </r>
    <r>
      <rPr>
        <b/>
        <sz val="10"/>
        <rFont val="Symbol"/>
        <family val="1"/>
      </rPr>
      <t xml:space="preserve"> =</t>
    </r>
  </si>
  <si>
    <t>0,42..0,43</t>
  </si>
  <si>
    <t>0,5..0,55</t>
  </si>
  <si>
    <r>
      <t>Примите значения</t>
    </r>
    <r>
      <rPr>
        <b/>
        <i/>
        <sz val="10"/>
        <rFont val="Arial Cyr"/>
        <family val="0"/>
      </rPr>
      <t xml:space="preserve"> </t>
    </r>
    <r>
      <rPr>
        <b/>
        <i/>
        <sz val="10"/>
        <rFont val="Symbol"/>
        <family val="1"/>
      </rPr>
      <t>j</t>
    </r>
    <r>
      <rPr>
        <sz val="10"/>
        <rFont val="Arial Cyr"/>
        <family val="0"/>
      </rPr>
      <t>к</t>
    </r>
    <r>
      <rPr>
        <sz val="8"/>
        <rFont val="Arial Cyr"/>
        <family val="2"/>
      </rPr>
      <t>р</t>
    </r>
    <r>
      <rPr>
        <sz val="10"/>
        <rFont val="Arial Cyr"/>
        <family val="0"/>
      </rPr>
      <t xml:space="preserve"> для стерни:</t>
    </r>
  </si>
  <si>
    <r>
      <t>номинальную эксплуатационную мощность( см. клетку</t>
    </r>
    <r>
      <rPr>
        <b/>
        <sz val="10"/>
        <rFont val="Arial Cyr"/>
        <family val="2"/>
      </rPr>
      <t xml:space="preserve"> J32</t>
    </r>
    <r>
      <rPr>
        <sz val="10"/>
        <rFont val="Arial Cyr"/>
        <family val="2"/>
      </rPr>
      <t>) и номинальный удельный расход</t>
    </r>
  </si>
  <si>
    <t>Табл.3.1</t>
  </si>
  <si>
    <t>Выберите в табл. 3.1  клетку, соответствующую заданному Вам типу трактора и фону, и перенесите</t>
  </si>
  <si>
    <r>
      <t xml:space="preserve">формулу в клетки D163…I163. </t>
    </r>
    <r>
      <rPr>
        <i/>
        <sz val="10"/>
        <rFont val="Arial Cyr"/>
        <family val="2"/>
      </rPr>
      <t xml:space="preserve">Для этого в выбранную клетку </t>
    </r>
    <r>
      <rPr>
        <b/>
        <sz val="10"/>
        <rFont val="Arial Cyr"/>
        <family val="2"/>
      </rPr>
      <t>(В157…M157</t>
    </r>
    <r>
      <rPr>
        <i/>
        <sz val="10"/>
        <rFont val="Arial Cyr"/>
        <family val="2"/>
      </rPr>
      <t>) подведите курсор (крестик).</t>
    </r>
  </si>
  <si>
    <t>проведите по голубым клеткам строчки до клетки I163. Строчка закрасится красным цветом. Отпустите кла-</t>
  </si>
  <si>
    <r>
      <t xml:space="preserve">вишу. В "Падающем меню" подведите курсор на пиктограмму </t>
    </r>
    <r>
      <rPr>
        <b/>
        <i/>
        <sz val="10"/>
        <rFont val="Arial Cyr"/>
        <family val="2"/>
      </rPr>
      <t>"портфель с листочком" - э</t>
    </r>
    <r>
      <rPr>
        <sz val="10"/>
        <rFont val="Arial Cyr"/>
        <family val="2"/>
      </rPr>
      <t xml:space="preserve">то команда </t>
    </r>
  </si>
  <si>
    <r>
      <t>"</t>
    </r>
    <r>
      <rPr>
        <i/>
        <sz val="10"/>
        <rFont val="Arial Cyr"/>
        <family val="2"/>
      </rPr>
      <t>вставить</t>
    </r>
    <r>
      <rPr>
        <sz val="10"/>
        <rFont val="Arial Cyr"/>
        <family val="0"/>
      </rPr>
      <t xml:space="preserve">".Нажмите на  клавишу мыши. </t>
    </r>
    <r>
      <rPr>
        <i/>
        <sz val="10"/>
        <rFont val="Arial Cyr"/>
        <family val="2"/>
      </rPr>
      <t xml:space="preserve">Формула из клетки таблицы скопирована  в клетки </t>
    </r>
    <r>
      <rPr>
        <b/>
        <i/>
        <sz val="10"/>
        <rFont val="Arial Cyr"/>
        <family val="2"/>
      </rPr>
      <t>D</t>
    </r>
    <r>
      <rPr>
        <b/>
        <sz val="10"/>
        <rFont val="Arial Cyr"/>
        <family val="2"/>
      </rPr>
      <t>163…I163</t>
    </r>
    <r>
      <rPr>
        <sz val="10"/>
        <rFont val="Arial Cyr"/>
        <family val="0"/>
      </rPr>
      <t>.</t>
    </r>
  </si>
  <si>
    <r>
      <t xml:space="preserve">Формула расчета:  </t>
    </r>
    <r>
      <rPr>
        <b/>
        <sz val="10"/>
        <rFont val="Arial Cyr"/>
        <family val="0"/>
      </rPr>
      <t>v=v</t>
    </r>
    <r>
      <rPr>
        <b/>
        <sz val="8"/>
        <rFont val="Arial Cyr"/>
        <family val="2"/>
      </rPr>
      <t>т</t>
    </r>
    <r>
      <rPr>
        <b/>
        <sz val="10"/>
        <rFont val="Arial Cyr"/>
        <family val="0"/>
      </rPr>
      <t xml:space="preserve">(1- </t>
    </r>
    <r>
      <rPr>
        <b/>
        <sz val="8"/>
        <rFont val="Symbol"/>
        <family val="1"/>
      </rPr>
      <t>d</t>
    </r>
    <r>
      <rPr>
        <b/>
        <sz val="10"/>
        <rFont val="Arial Cyr"/>
        <family val="0"/>
      </rPr>
      <t xml:space="preserve">), </t>
    </r>
    <r>
      <rPr>
        <sz val="10"/>
        <rFont val="Arial Cyr"/>
        <family val="2"/>
      </rPr>
      <t xml:space="preserve">где   </t>
    </r>
    <r>
      <rPr>
        <sz val="10"/>
        <rFont val="Symbol"/>
        <family val="1"/>
      </rPr>
      <t xml:space="preserve">d - </t>
    </r>
    <r>
      <rPr>
        <sz val="10"/>
        <rFont val="Arial Cyr"/>
        <family val="2"/>
      </rPr>
      <t>буксование, соответствующее точному соотношению Р</t>
    </r>
    <r>
      <rPr>
        <sz val="8"/>
        <rFont val="Arial Cyr"/>
        <family val="2"/>
      </rPr>
      <t>кр</t>
    </r>
    <r>
      <rPr>
        <sz val="10"/>
        <rFont val="Arial Cyr"/>
        <family val="2"/>
      </rPr>
      <t xml:space="preserve"> и v.</t>
    </r>
  </si>
  <si>
    <t xml:space="preserve">                                 =</t>
  </si>
  <si>
    <r>
      <t xml:space="preserve"> используя формулу:</t>
    </r>
    <r>
      <rPr>
        <b/>
        <i/>
        <sz val="10"/>
        <rFont val="Arial Cyr"/>
        <family val="0"/>
      </rPr>
      <t xml:space="preserve"> Р</t>
    </r>
    <r>
      <rPr>
        <b/>
        <i/>
        <sz val="8"/>
        <rFont val="Arial Cyr"/>
        <family val="2"/>
      </rPr>
      <t>кр</t>
    </r>
    <r>
      <rPr>
        <b/>
        <i/>
        <sz val="10"/>
        <rFont val="Arial Cyr"/>
        <family val="0"/>
      </rPr>
      <t>=Р</t>
    </r>
    <r>
      <rPr>
        <b/>
        <i/>
        <sz val="8"/>
        <rFont val="Arial Cyr"/>
        <family val="2"/>
      </rPr>
      <t>к-</t>
    </r>
    <r>
      <rPr>
        <b/>
        <i/>
        <sz val="10"/>
        <rFont val="Arial Cyr"/>
        <family val="0"/>
      </rPr>
      <t>Р</t>
    </r>
    <r>
      <rPr>
        <b/>
        <i/>
        <sz val="8"/>
        <rFont val="Arial Cyr"/>
        <family val="2"/>
      </rPr>
      <t>f</t>
    </r>
    <r>
      <rPr>
        <b/>
        <i/>
        <sz val="10"/>
        <rFont val="Arial Cyr"/>
        <family val="0"/>
      </rPr>
      <t>= M</t>
    </r>
    <r>
      <rPr>
        <b/>
        <i/>
        <sz val="8"/>
        <rFont val="Arial Cyr"/>
        <family val="2"/>
      </rPr>
      <t>к*</t>
    </r>
    <r>
      <rPr>
        <b/>
        <i/>
        <sz val="10"/>
        <rFont val="Arial Cyr"/>
        <family val="0"/>
      </rPr>
      <t>i</t>
    </r>
    <r>
      <rPr>
        <b/>
        <i/>
        <sz val="8"/>
        <rFont val="Arial Cyr"/>
        <family val="2"/>
      </rPr>
      <t>тр*</t>
    </r>
    <r>
      <rPr>
        <b/>
        <i/>
        <sz val="8"/>
        <rFont val="Symbol"/>
        <family val="1"/>
      </rPr>
      <t>h</t>
    </r>
    <r>
      <rPr>
        <b/>
        <i/>
        <sz val="8"/>
        <rFont val="Arial Cyr"/>
        <family val="2"/>
      </rPr>
      <t>тр</t>
    </r>
    <r>
      <rPr>
        <b/>
        <i/>
        <sz val="10"/>
        <rFont val="Arial Cyr"/>
        <family val="0"/>
      </rPr>
      <t>/r</t>
    </r>
    <r>
      <rPr>
        <b/>
        <i/>
        <sz val="8"/>
        <rFont val="Arial Cyr"/>
        <family val="2"/>
      </rPr>
      <t>к</t>
    </r>
    <r>
      <rPr>
        <b/>
        <i/>
        <sz val="10"/>
        <rFont val="Arial Cyr"/>
        <family val="0"/>
      </rPr>
      <t xml:space="preserve"> - f</t>
    </r>
    <r>
      <rPr>
        <b/>
        <i/>
        <sz val="8"/>
        <rFont val="Arial Cyr"/>
        <family val="2"/>
      </rPr>
      <t>к</t>
    </r>
    <r>
      <rPr>
        <b/>
        <i/>
        <sz val="10"/>
        <rFont val="Arial Cyr"/>
        <family val="0"/>
      </rPr>
      <t>G</t>
    </r>
    <r>
      <rPr>
        <b/>
        <i/>
        <sz val="8"/>
        <rFont val="Arial Cyr"/>
        <family val="2"/>
      </rPr>
      <t>тр</t>
    </r>
  </si>
  <si>
    <t xml:space="preserve"> Машина заполнит  клетки  D161…I 161 в соответствии с точками характеристики дизеля,</t>
  </si>
  <si>
    <r>
      <t xml:space="preserve">Затем подведите курсор на клетку D163, нажмите левую клавишу мыши и, </t>
    </r>
    <r>
      <rPr>
        <b/>
        <i/>
        <sz val="10"/>
        <rFont val="Arial Cyr"/>
        <family val="2"/>
      </rPr>
      <t>не отпуская ее,</t>
    </r>
    <r>
      <rPr>
        <sz val="10"/>
        <rFont val="Arial Cyr"/>
        <family val="0"/>
      </rPr>
      <t xml:space="preserve"> </t>
    </r>
  </si>
  <si>
    <r>
      <t xml:space="preserve">Расчет ведется по зависимости  </t>
    </r>
    <r>
      <rPr>
        <sz val="10"/>
        <rFont val="Symbol"/>
        <family val="1"/>
      </rPr>
      <t>d</t>
    </r>
    <r>
      <rPr>
        <sz val="10"/>
        <rFont val="Arial Cyr"/>
        <family val="0"/>
      </rPr>
      <t xml:space="preserve"> =f(</t>
    </r>
    <r>
      <rPr>
        <sz val="10"/>
        <rFont val="Symbol"/>
        <family val="1"/>
      </rPr>
      <t>j</t>
    </r>
    <r>
      <rPr>
        <sz val="10"/>
        <rFont val="Arial Cyr"/>
        <family val="0"/>
      </rPr>
      <t xml:space="preserve">). Графики этих зависмостей даны в приложении 4.5. </t>
    </r>
  </si>
  <si>
    <r>
      <t xml:space="preserve">В машине эти зависимости апроксимированы уравнениями типа  </t>
    </r>
    <r>
      <rPr>
        <sz val="10"/>
        <rFont val="Symbol"/>
        <family val="1"/>
      </rPr>
      <t>d</t>
    </r>
    <r>
      <rPr>
        <sz val="10"/>
        <rFont val="Arial Cyr"/>
        <family val="0"/>
      </rPr>
      <t xml:space="preserve"> =а</t>
    </r>
    <r>
      <rPr>
        <sz val="8"/>
        <rFont val="Arial Cyr"/>
        <family val="2"/>
      </rPr>
      <t>1</t>
    </r>
    <r>
      <rPr>
        <sz val="10"/>
        <rFont val="Arial Cyr"/>
        <family val="0"/>
      </rPr>
      <t>+ а</t>
    </r>
    <r>
      <rPr>
        <sz val="8"/>
        <rFont val="Arial Cyr"/>
        <family val="2"/>
      </rPr>
      <t>2*</t>
    </r>
    <r>
      <rPr>
        <sz val="10"/>
        <rFont val="Arial Cyr"/>
        <family val="0"/>
      </rPr>
      <t>Р+а</t>
    </r>
    <r>
      <rPr>
        <sz val="8"/>
        <rFont val="Arial Cyr"/>
        <family val="2"/>
      </rPr>
      <t>3*</t>
    </r>
    <r>
      <rPr>
        <sz val="10"/>
        <rFont val="Arial Cyr"/>
        <family val="0"/>
      </rPr>
      <t>Р^2+ а</t>
    </r>
    <r>
      <rPr>
        <sz val="8"/>
        <rFont val="Arial Cyr"/>
        <family val="2"/>
      </rPr>
      <t>4*</t>
    </r>
    <r>
      <rPr>
        <sz val="10"/>
        <rFont val="Arial Cyr"/>
        <family val="0"/>
      </rPr>
      <t xml:space="preserve">Р^3....  </t>
    </r>
  </si>
  <si>
    <t>Эти уравнения находятся в клетках B157…M157.</t>
  </si>
  <si>
    <r>
      <t>l</t>
    </r>
    <r>
      <rPr>
        <b/>
        <sz val="8"/>
        <rFont val="Times New Roman Cyr"/>
        <family val="1"/>
      </rPr>
      <t>к</t>
    </r>
    <r>
      <rPr>
        <b/>
        <sz val="8"/>
        <rFont val="Symbol"/>
        <family val="1"/>
      </rPr>
      <t xml:space="preserve"> </t>
    </r>
    <r>
      <rPr>
        <b/>
        <sz val="12"/>
        <rFont val="Symbol"/>
        <family val="1"/>
      </rPr>
      <t>f</t>
    </r>
    <r>
      <rPr>
        <b/>
        <sz val="8"/>
        <rFont val="Symbol"/>
        <family val="1"/>
      </rPr>
      <t>k-</t>
    </r>
    <r>
      <rPr>
        <b/>
        <sz val="8"/>
        <rFont val="Arial Cyr"/>
        <family val="2"/>
      </rPr>
      <t>f</t>
    </r>
    <r>
      <rPr>
        <b/>
        <sz val="8"/>
        <rFont val="Times New Roman Cyr"/>
        <family val="1"/>
      </rPr>
      <t>к</t>
    </r>
  </si>
  <si>
    <r>
      <t>При работе с программой необходимо учитывать следующие моменты</t>
    </r>
    <r>
      <rPr>
        <sz val="10"/>
        <rFont val="Arial Cyr"/>
        <family val="0"/>
      </rPr>
      <t>:</t>
    </r>
  </si>
  <si>
    <r>
      <t xml:space="preserve">1. Не пытайтесь вводить числа или текст в </t>
    </r>
    <r>
      <rPr>
        <b/>
        <i/>
        <sz val="10"/>
        <rFont val="Arial Cyr"/>
        <family val="2"/>
      </rPr>
      <t>красные</t>
    </r>
    <r>
      <rPr>
        <sz val="10"/>
        <rFont val="Arial Cyr"/>
        <family val="0"/>
      </rPr>
      <t xml:space="preserve"> клетки</t>
    </r>
  </si>
  <si>
    <r>
      <t xml:space="preserve">2. Аккуратно вносите  численные значения в </t>
    </r>
    <r>
      <rPr>
        <b/>
        <i/>
        <sz val="10"/>
        <rFont val="Arial Cyr"/>
        <family val="2"/>
      </rPr>
      <t>желтые</t>
    </r>
    <r>
      <rPr>
        <sz val="10"/>
        <rFont val="Arial Cyr"/>
        <family val="0"/>
      </rPr>
      <t xml:space="preserve"> клетки:</t>
    </r>
  </si>
  <si>
    <t xml:space="preserve">         - подведите курсор (крестик) в нужную клетку, щелкните левой  кнопкой мыши;</t>
  </si>
  <si>
    <t xml:space="preserve">         - наберите число и нажмите "Enter" или щелкните левой  кнопкой мыши;</t>
  </si>
  <si>
    <t xml:space="preserve">         - дробные числа вводите через запятую;</t>
  </si>
  <si>
    <t xml:space="preserve">         - соблюдайте размерность всех величин в формуле;</t>
  </si>
  <si>
    <t>3. Если после ввода чисел в желтые клетки в красной клетке нет решения, проверьте еще раз точность ввода.</t>
  </si>
  <si>
    <t>Введите в клетки F32, F33, F34, F35, F36, F37последовательно следующие данные</t>
  </si>
  <si>
    <t>Фамилия, имя, отчество</t>
  </si>
  <si>
    <t>Группа</t>
  </si>
  <si>
    <t>Задание:</t>
  </si>
  <si>
    <t>Для работы с программой щелкните "Мышью" на кнопке "Лист1" (слева внизу экрана)</t>
  </si>
  <si>
    <t>Номинальное тяговое усилие</t>
  </si>
  <si>
    <t>Тип трактора</t>
  </si>
  <si>
    <t>Почвенный фон</t>
  </si>
  <si>
    <t>Дополнительно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</si>
</sst>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7">
    <font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sz val="12"/>
      <name val="Symbol"/>
      <family val="1"/>
    </font>
    <font>
      <b/>
      <sz val="8"/>
      <name val="Symbol"/>
      <family val="1"/>
    </font>
    <font>
      <b/>
      <sz val="8"/>
      <name val="Times New Roman Cyr"/>
      <family val="1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0"/>
      <name val="Symbol"/>
      <family val="1"/>
    </font>
    <font>
      <sz val="10"/>
      <name val="Symbol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i/>
      <sz val="8"/>
      <name val="Arial Cyr"/>
      <family val="2"/>
    </font>
    <font>
      <i/>
      <u val="single"/>
      <sz val="10"/>
      <name val="Arial Cyr"/>
      <family val="2"/>
    </font>
    <font>
      <i/>
      <sz val="10"/>
      <name val="Arial Cyr"/>
      <family val="2"/>
    </font>
    <font>
      <i/>
      <sz val="8"/>
      <name val="Arial Cyr"/>
      <family val="2"/>
    </font>
    <font>
      <b/>
      <i/>
      <sz val="10"/>
      <name val="Symbol"/>
      <family val="1"/>
    </font>
    <font>
      <b/>
      <sz val="11"/>
      <name val="Arial Cyr"/>
      <family val="2"/>
    </font>
    <font>
      <b/>
      <i/>
      <sz val="8"/>
      <name val="Symbol"/>
      <family val="1"/>
    </font>
    <font>
      <sz val="8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sz val="8.5"/>
      <color indexed="8"/>
      <name val="Arial Cyr"/>
      <family val="0"/>
    </font>
    <font>
      <b/>
      <sz val="8.5"/>
      <color indexed="8"/>
      <name val="Arial Cyr"/>
      <family val="0"/>
    </font>
    <font>
      <sz val="10.75"/>
      <color indexed="8"/>
      <name val="Arial Cyr"/>
      <family val="0"/>
    </font>
    <font>
      <sz val="11.25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i/>
      <sz val="8"/>
      <color indexed="8"/>
      <name val="Arial Cyr"/>
      <family val="0"/>
    </font>
    <font>
      <sz val="11"/>
      <name val="Calibri"/>
      <family val="0"/>
    </font>
    <font>
      <b/>
      <sz val="10"/>
      <color indexed="8"/>
      <name val="Arial Cyr"/>
      <family val="0"/>
    </font>
    <font>
      <sz val="11.75"/>
      <color indexed="8"/>
      <name val="Arial Cyr"/>
      <family val="0"/>
    </font>
    <font>
      <sz val="9.5"/>
      <color indexed="8"/>
      <name val="Arial Cyr"/>
      <family val="0"/>
    </font>
    <font>
      <b/>
      <sz val="11.5"/>
      <color indexed="8"/>
      <name val="Arial Cyr"/>
      <family val="0"/>
    </font>
    <font>
      <sz val="10.5"/>
      <color indexed="8"/>
      <name val="Arial Cyr"/>
      <family val="0"/>
    </font>
    <font>
      <sz val="9.25"/>
      <color indexed="8"/>
      <name val="Arial Cyr"/>
      <family val="0"/>
    </font>
    <font>
      <sz val="8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>
        <color indexed="52"/>
      </left>
      <right style="medium">
        <color indexed="52"/>
      </right>
      <top style="medium">
        <color indexed="52"/>
      </top>
      <bottom style="medium">
        <color indexed="52"/>
      </bottom>
    </border>
    <border>
      <left>
        <color indexed="63"/>
      </left>
      <right style="medium">
        <color indexed="52"/>
      </right>
      <top style="medium">
        <color indexed="52"/>
      </top>
      <bottom style="medium">
        <color indexed="52"/>
      </bottom>
    </border>
    <border>
      <left style="medium">
        <color indexed="52"/>
      </left>
      <right style="medium">
        <color indexed="10"/>
      </right>
      <top style="medium">
        <color indexed="52"/>
      </top>
      <bottom style="medium">
        <color indexed="52"/>
      </bottom>
    </border>
    <border>
      <left>
        <color indexed="63"/>
      </left>
      <right style="medium">
        <color indexed="52"/>
      </right>
      <top>
        <color indexed="63"/>
      </top>
      <bottom style="medium">
        <color indexed="52"/>
      </bottom>
    </border>
    <border>
      <left style="medium">
        <color indexed="52"/>
      </left>
      <right style="medium">
        <color indexed="52"/>
      </right>
      <top>
        <color indexed="63"/>
      </top>
      <bottom style="medium">
        <color indexed="52"/>
      </bottom>
    </border>
    <border>
      <left style="medium">
        <color indexed="52"/>
      </left>
      <right style="medium">
        <color indexed="10"/>
      </right>
      <top>
        <color indexed="63"/>
      </top>
      <bottom style="medium">
        <color indexed="52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12"/>
      </left>
      <right style="medium">
        <color indexed="51"/>
      </right>
      <top style="thick">
        <color indexed="12"/>
      </top>
      <bottom style="medium">
        <color indexed="51"/>
      </bottom>
    </border>
    <border>
      <left style="thick">
        <color indexed="12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2"/>
      </left>
      <right style="medium">
        <color indexed="51"/>
      </right>
      <top style="medium">
        <color indexed="51"/>
      </top>
      <bottom style="thick">
        <color indexed="12"/>
      </bottom>
    </border>
    <border>
      <left style="medium">
        <color indexed="51"/>
      </left>
      <right style="medium">
        <color indexed="51"/>
      </right>
      <top style="thick">
        <color indexed="12"/>
      </top>
      <bottom style="medium">
        <color indexed="51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thick">
        <color indexed="12"/>
      </left>
      <right style="thick">
        <color indexed="10"/>
      </right>
      <top style="thick">
        <color indexed="12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2"/>
      </top>
      <bottom style="thick">
        <color indexed="10"/>
      </bottom>
    </border>
    <border>
      <left style="thick">
        <color indexed="10"/>
      </left>
      <right style="thick">
        <color indexed="12"/>
      </right>
      <top style="thick">
        <color indexed="12"/>
      </top>
      <bottom style="thick">
        <color indexed="10"/>
      </bottom>
    </border>
    <border>
      <left style="thick">
        <color indexed="12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2"/>
      </right>
      <top style="thick">
        <color indexed="10"/>
      </top>
      <bottom style="thick">
        <color indexed="10"/>
      </bottom>
    </border>
    <border>
      <left style="thick">
        <color indexed="12"/>
      </left>
      <right style="thick">
        <color indexed="10"/>
      </right>
      <top style="thick">
        <color indexed="10"/>
      </top>
      <bottom style="thick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2"/>
      </bottom>
    </border>
    <border>
      <left style="thick">
        <color indexed="10"/>
      </left>
      <right style="thick">
        <color indexed="12"/>
      </right>
      <top style="thick">
        <color indexed="10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double">
        <color indexed="14"/>
      </left>
      <right>
        <color indexed="63"/>
      </right>
      <top style="double">
        <color indexed="14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ck">
        <color indexed="12"/>
      </left>
      <right style="medium">
        <color indexed="51"/>
      </right>
      <top style="medium">
        <color indexed="51"/>
      </top>
      <bottom>
        <color indexed="63"/>
      </bottom>
    </border>
    <border>
      <left style="medium">
        <color indexed="51"/>
      </left>
      <right style="thick">
        <color indexed="12"/>
      </right>
      <top style="medium">
        <color indexed="51"/>
      </top>
      <bottom style="thick">
        <color indexed="12"/>
      </bottom>
    </border>
    <border>
      <left style="medium">
        <color indexed="51"/>
      </left>
      <right style="medium">
        <color indexed="51"/>
      </right>
      <top style="medium">
        <color indexed="51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 quotePrefix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34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35" borderId="13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35" borderId="14" xfId="0" applyFill="1" applyBorder="1" applyAlignment="1">
      <alignment/>
    </xf>
    <xf numFmtId="0" fontId="0" fillId="36" borderId="14" xfId="0" applyFill="1" applyBorder="1" applyAlignment="1">
      <alignment/>
    </xf>
    <xf numFmtId="0" fontId="0" fillId="37" borderId="14" xfId="0" applyFill="1" applyBorder="1" applyAlignment="1">
      <alignment/>
    </xf>
    <xf numFmtId="0" fontId="9" fillId="0" borderId="0" xfId="0" applyFont="1" applyAlignment="1">
      <alignment/>
    </xf>
    <xf numFmtId="0" fontId="8" fillId="36" borderId="14" xfId="0" applyFont="1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5" xfId="0" applyFill="1" applyBorder="1" applyAlignment="1">
      <alignment horizontal="center"/>
    </xf>
    <xf numFmtId="0" fontId="19" fillId="0" borderId="0" xfId="0" applyFont="1" applyAlignment="1">
      <alignment/>
    </xf>
    <xf numFmtId="0" fontId="0" fillId="34" borderId="14" xfId="0" applyFill="1" applyBorder="1" applyAlignment="1">
      <alignment/>
    </xf>
    <xf numFmtId="0" fontId="18" fillId="0" borderId="0" xfId="0" applyFont="1" applyAlignment="1">
      <alignment/>
    </xf>
    <xf numFmtId="0" fontId="0" fillId="0" borderId="16" xfId="0" applyBorder="1" applyAlignment="1">
      <alignment/>
    </xf>
    <xf numFmtId="0" fontId="9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0" fillId="38" borderId="16" xfId="0" applyFill="1" applyBorder="1" applyAlignment="1">
      <alignment/>
    </xf>
    <xf numFmtId="0" fontId="0" fillId="39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39" borderId="17" xfId="0" applyFill="1" applyBorder="1" applyAlignment="1">
      <alignment/>
    </xf>
    <xf numFmtId="0" fontId="0" fillId="38" borderId="18" xfId="0" applyFont="1" applyFill="1" applyBorder="1" applyAlignment="1">
      <alignment/>
    </xf>
    <xf numFmtId="0" fontId="0" fillId="38" borderId="18" xfId="0" applyFill="1" applyBorder="1" applyAlignment="1">
      <alignment/>
    </xf>
    <xf numFmtId="0" fontId="0" fillId="39" borderId="18" xfId="0" applyFill="1" applyBorder="1" applyAlignment="1">
      <alignment/>
    </xf>
    <xf numFmtId="0" fontId="0" fillId="38" borderId="19" xfId="0" applyFill="1" applyBorder="1" applyAlignment="1">
      <alignment/>
    </xf>
    <xf numFmtId="0" fontId="0" fillId="38" borderId="20" xfId="0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4" xfId="0" applyFill="1" applyBorder="1" applyAlignment="1">
      <alignment/>
    </xf>
    <xf numFmtId="0" fontId="11" fillId="35" borderId="13" xfId="0" applyFont="1" applyFill="1" applyBorder="1" applyAlignment="1">
      <alignment/>
    </xf>
    <xf numFmtId="0" fontId="0" fillId="39" borderId="17" xfId="0" applyFill="1" applyBorder="1" applyAlignment="1" quotePrefix="1">
      <alignment/>
    </xf>
    <xf numFmtId="0" fontId="0" fillId="33" borderId="14" xfId="0" applyFill="1" applyBorder="1" applyAlignment="1">
      <alignment/>
    </xf>
    <xf numFmtId="0" fontId="0" fillId="0" borderId="14" xfId="0" applyBorder="1" applyAlignment="1">
      <alignment/>
    </xf>
    <xf numFmtId="0" fontId="11" fillId="40" borderId="13" xfId="0" applyFont="1" applyFill="1" applyBorder="1" applyAlignment="1">
      <alignment/>
    </xf>
    <xf numFmtId="0" fontId="0" fillId="40" borderId="13" xfId="0" applyFill="1" applyBorder="1" applyAlignment="1">
      <alignment/>
    </xf>
    <xf numFmtId="0" fontId="0" fillId="41" borderId="14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25" xfId="0" applyFill="1" applyBorder="1" applyAlignment="1">
      <alignment/>
    </xf>
    <xf numFmtId="0" fontId="0" fillId="42" borderId="26" xfId="0" applyFill="1" applyBorder="1" applyAlignment="1">
      <alignment/>
    </xf>
    <xf numFmtId="0" fontId="9" fillId="38" borderId="27" xfId="0" applyFont="1" applyFill="1" applyBorder="1" applyAlignment="1">
      <alignment/>
    </xf>
    <xf numFmtId="0" fontId="9" fillId="38" borderId="28" xfId="0" applyFont="1" applyFill="1" applyBorder="1" applyAlignment="1">
      <alignment/>
    </xf>
    <xf numFmtId="0" fontId="18" fillId="38" borderId="28" xfId="0" applyFont="1" applyFill="1" applyBorder="1" applyAlignment="1">
      <alignment/>
    </xf>
    <xf numFmtId="0" fontId="18" fillId="38" borderId="29" xfId="0" applyFont="1" applyFill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0" fillId="39" borderId="16" xfId="0" applyFill="1" applyBorder="1" applyAlignment="1" applyProtection="1">
      <alignment/>
      <protection hidden="1"/>
    </xf>
    <xf numFmtId="0" fontId="0" fillId="42" borderId="30" xfId="0" applyFill="1" applyBorder="1" applyAlignment="1">
      <alignment/>
    </xf>
    <xf numFmtId="0" fontId="0" fillId="42" borderId="31" xfId="0" applyFill="1" applyBorder="1" applyAlignment="1">
      <alignment/>
    </xf>
    <xf numFmtId="0" fontId="0" fillId="42" borderId="17" xfId="0" applyFill="1" applyBorder="1" applyAlignment="1">
      <alignment/>
    </xf>
    <xf numFmtId="0" fontId="0" fillId="42" borderId="32" xfId="0" applyFill="1" applyBorder="1" applyAlignment="1">
      <alignment/>
    </xf>
    <xf numFmtId="0" fontId="0" fillId="37" borderId="13" xfId="0" applyFill="1" applyBorder="1" applyAlignment="1">
      <alignment/>
    </xf>
    <xf numFmtId="0" fontId="18" fillId="37" borderId="13" xfId="0" applyFont="1" applyFill="1" applyBorder="1" applyAlignment="1">
      <alignment/>
    </xf>
    <xf numFmtId="0" fontId="0" fillId="43" borderId="15" xfId="0" applyFill="1" applyBorder="1" applyAlignment="1" applyProtection="1">
      <alignment/>
      <protection hidden="1" locked="0"/>
    </xf>
    <xf numFmtId="0" fontId="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0" xfId="0" applyFill="1" applyBorder="1" applyAlignment="1" applyProtection="1">
      <alignment/>
      <protection hidden="1"/>
    </xf>
    <xf numFmtId="0" fontId="0" fillId="0" borderId="33" xfId="0" applyFill="1" applyBorder="1" applyAlignment="1">
      <alignment/>
    </xf>
    <xf numFmtId="42" fontId="0" fillId="0" borderId="16" xfId="0" applyNumberFormat="1" applyBorder="1" applyAlignment="1">
      <alignment/>
    </xf>
    <xf numFmtId="0" fontId="22" fillId="0" borderId="0" xfId="0" applyFont="1" applyAlignment="1">
      <alignment/>
    </xf>
    <xf numFmtId="0" fontId="0" fillId="42" borderId="34" xfId="0" applyFill="1" applyBorder="1" applyAlignment="1">
      <alignment/>
    </xf>
    <xf numFmtId="0" fontId="0" fillId="42" borderId="35" xfId="0" applyFill="1" applyBorder="1" applyAlignment="1">
      <alignment/>
    </xf>
    <xf numFmtId="0" fontId="0" fillId="42" borderId="36" xfId="0" applyFill="1" applyBorder="1" applyAlignment="1">
      <alignment/>
    </xf>
    <xf numFmtId="0" fontId="0" fillId="42" borderId="37" xfId="0" applyFill="1" applyBorder="1" applyAlignment="1">
      <alignment/>
    </xf>
    <xf numFmtId="0" fontId="0" fillId="42" borderId="38" xfId="0" applyFill="1" applyBorder="1" applyAlignment="1">
      <alignment/>
    </xf>
    <xf numFmtId="0" fontId="18" fillId="42" borderId="39" xfId="0" applyFont="1" applyFill="1" applyBorder="1" applyAlignment="1">
      <alignment/>
    </xf>
    <xf numFmtId="0" fontId="0" fillId="42" borderId="40" xfId="0" applyFill="1" applyBorder="1" applyAlignment="1">
      <alignment/>
    </xf>
    <xf numFmtId="0" fontId="0" fillId="42" borderId="41" xfId="0" applyFill="1" applyBorder="1" applyAlignment="1">
      <alignment/>
    </xf>
    <xf numFmtId="0" fontId="0" fillId="0" borderId="42" xfId="0" applyBorder="1" applyAlignment="1">
      <alignment/>
    </xf>
    <xf numFmtId="0" fontId="9" fillId="44" borderId="43" xfId="0" applyFont="1" applyFill="1" applyBorder="1" applyAlignment="1">
      <alignment/>
    </xf>
    <xf numFmtId="0" fontId="0" fillId="44" borderId="44" xfId="0" applyFill="1" applyBorder="1" applyAlignment="1">
      <alignment/>
    </xf>
    <xf numFmtId="0" fontId="0" fillId="44" borderId="45" xfId="0" applyFill="1" applyBorder="1" applyAlignment="1">
      <alignment/>
    </xf>
    <xf numFmtId="0" fontId="0" fillId="37" borderId="46" xfId="0" applyFill="1" applyBorder="1" applyAlignment="1">
      <alignment/>
    </xf>
    <xf numFmtId="0" fontId="11" fillId="37" borderId="13" xfId="0" applyFont="1" applyFill="1" applyBorder="1" applyAlignment="1">
      <alignment/>
    </xf>
    <xf numFmtId="0" fontId="0" fillId="35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0" fillId="35" borderId="0" xfId="0" applyFill="1" applyAlignment="1">
      <alignment/>
    </xf>
    <xf numFmtId="0" fontId="0" fillId="45" borderId="47" xfId="0" applyFill="1" applyBorder="1" applyAlignment="1">
      <alignment/>
    </xf>
    <xf numFmtId="0" fontId="0" fillId="45" borderId="48" xfId="0" applyFill="1" applyBorder="1" applyAlignment="1">
      <alignment/>
    </xf>
    <xf numFmtId="0" fontId="0" fillId="45" borderId="49" xfId="0" applyFill="1" applyBorder="1" applyAlignment="1">
      <alignment/>
    </xf>
    <xf numFmtId="0" fontId="0" fillId="35" borderId="13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9" borderId="16" xfId="0" applyFill="1" applyBorder="1" applyAlignment="1" applyProtection="1">
      <alignment/>
      <protection locked="0"/>
    </xf>
    <xf numFmtId="0" fontId="21" fillId="37" borderId="14" xfId="0" applyFont="1" applyFill="1" applyBorder="1" applyAlignment="1">
      <alignment/>
    </xf>
    <xf numFmtId="0" fontId="0" fillId="35" borderId="14" xfId="0" applyFont="1" applyFill="1" applyBorder="1" applyAlignment="1" applyProtection="1">
      <alignment/>
      <protection locked="0"/>
    </xf>
    <xf numFmtId="0" fontId="0" fillId="43" borderId="14" xfId="0" applyFill="1" applyBorder="1" applyAlignment="1">
      <alignment/>
    </xf>
    <xf numFmtId="0" fontId="0" fillId="45" borderId="14" xfId="0" applyFill="1" applyBorder="1" applyAlignment="1">
      <alignment/>
    </xf>
    <xf numFmtId="0" fontId="0" fillId="45" borderId="30" xfId="0" applyFill="1" applyBorder="1" applyAlignment="1">
      <alignment/>
    </xf>
    <xf numFmtId="0" fontId="0" fillId="45" borderId="31" xfId="0" applyFill="1" applyBorder="1" applyAlignment="1">
      <alignment/>
    </xf>
    <xf numFmtId="0" fontId="0" fillId="45" borderId="17" xfId="0" applyFill="1" applyBorder="1" applyAlignment="1">
      <alignment/>
    </xf>
    <xf numFmtId="0" fontId="0" fillId="45" borderId="32" xfId="0" applyFill="1" applyBorder="1" applyAlignment="1">
      <alignment/>
    </xf>
    <xf numFmtId="0" fontId="0" fillId="41" borderId="30" xfId="0" applyFill="1" applyBorder="1" applyAlignment="1">
      <alignment/>
    </xf>
    <xf numFmtId="0" fontId="0" fillId="41" borderId="31" xfId="0" applyFill="1" applyBorder="1" applyAlignment="1">
      <alignment/>
    </xf>
    <xf numFmtId="0" fontId="0" fillId="41" borderId="17" xfId="0" applyFill="1" applyBorder="1" applyAlignment="1">
      <alignment/>
    </xf>
    <xf numFmtId="0" fontId="0" fillId="41" borderId="32" xfId="0" applyFill="1" applyBorder="1" applyAlignment="1">
      <alignment/>
    </xf>
    <xf numFmtId="0" fontId="9" fillId="37" borderId="27" xfId="0" applyFont="1" applyFill="1" applyBorder="1" applyAlignment="1">
      <alignment/>
    </xf>
    <xf numFmtId="0" fontId="9" fillId="37" borderId="28" xfId="0" applyFont="1" applyFill="1" applyBorder="1" applyAlignment="1">
      <alignment/>
    </xf>
    <xf numFmtId="0" fontId="18" fillId="37" borderId="28" xfId="0" applyFont="1" applyFill="1" applyBorder="1" applyAlignment="1">
      <alignment/>
    </xf>
    <xf numFmtId="0" fontId="18" fillId="37" borderId="29" xfId="0" applyFont="1" applyFill="1" applyBorder="1" applyAlignment="1">
      <alignment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32" xfId="0" applyFill="1" applyBorder="1" applyAlignment="1">
      <alignment/>
    </xf>
    <xf numFmtId="0" fontId="0" fillId="45" borderId="16" xfId="0" applyFill="1" applyBorder="1" applyAlignment="1">
      <alignment/>
    </xf>
    <xf numFmtId="0" fontId="18" fillId="37" borderId="50" xfId="0" applyFont="1" applyFill="1" applyBorder="1" applyAlignment="1">
      <alignment/>
    </xf>
    <xf numFmtId="0" fontId="0" fillId="45" borderId="51" xfId="0" applyFill="1" applyBorder="1" applyAlignment="1">
      <alignment/>
    </xf>
    <xf numFmtId="0" fontId="0" fillId="43" borderId="52" xfId="0" applyFill="1" applyBorder="1" applyAlignment="1">
      <alignment/>
    </xf>
    <xf numFmtId="0" fontId="0" fillId="45" borderId="52" xfId="0" applyFill="1" applyBorder="1" applyAlignment="1">
      <alignment/>
    </xf>
    <xf numFmtId="0" fontId="0" fillId="42" borderId="52" xfId="0" applyFill="1" applyBorder="1" applyAlignment="1">
      <alignment/>
    </xf>
    <xf numFmtId="0" fontId="0" fillId="37" borderId="14" xfId="0" applyFill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Регуляторная характеристика</a:t>
            </a:r>
          </a:p>
        </c:rich>
      </c:tx>
      <c:layout>
        <c:manualLayout>
          <c:xMode val="factor"/>
          <c:yMode val="factor"/>
          <c:x val="0.0095"/>
          <c:y val="0.09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5"/>
          <c:w val="0.90125"/>
          <c:h val="0.735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Лист1!$P$53:$V$53</c:f>
              <c:numCache/>
            </c:numRef>
          </c:xVal>
          <c:yVal>
            <c:numRef>
              <c:f>Лист1!$P$54:$V$54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Лист1!$P$53:$V$53</c:f>
              <c:numCache/>
            </c:numRef>
          </c:xVal>
          <c:yVal>
            <c:numRef>
              <c:f>Лист1!$P$55:$V$55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Лист1!$P$53:$V$53</c:f>
              <c:numCache/>
            </c:numRef>
          </c:xVal>
          <c:yVal>
            <c:numRef>
              <c:f>Лист1!$P$56:$V$56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Лист1!$P$53:$V$53</c:f>
              <c:numCache/>
            </c:numRef>
          </c:xVal>
          <c:yVal>
            <c:numRef>
              <c:f>Лист1!$P$57:$V$57</c:f>
              <c:numCache/>
            </c:numRef>
          </c:yVal>
          <c:smooth val="1"/>
        </c:ser>
        <c:axId val="39966554"/>
        <c:axId val="28015979"/>
      </c:scatterChart>
      <c:valAx>
        <c:axId val="39966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Частота вращения,об/мин </a:t>
                </a:r>
              </a:p>
            </c:rich>
          </c:tx>
          <c:layout>
            <c:manualLayout>
              <c:xMode val="factor"/>
              <c:yMode val="factor"/>
              <c:x val="0.013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FF99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15979"/>
        <c:crosses val="autoZero"/>
        <c:crossBetween val="midCat"/>
        <c:dispUnits/>
      </c:valAx>
      <c:valAx>
        <c:axId val="28015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N,M,G,g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966554"/>
        <c:crosses val="autoZero"/>
        <c:crossBetween val="midCat"/>
        <c:dispUnits/>
      </c:valAx>
      <c:spPr>
        <a:solidFill>
          <a:srgbClr val="CCFFFF"/>
        </a:solidFill>
        <a:ln w="3175">
          <a:solidFill>
            <a:srgbClr val="00FF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"/>
          <c:y val="0.08375"/>
          <c:w val="0.872"/>
          <c:h val="0.78775"/>
        </c:manualLayout>
      </c:layout>
      <c:scatterChart>
        <c:scatterStyle val="smoothMarker"/>
        <c:varyColors val="0"/>
        <c:ser>
          <c:idx val="4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Лист1!$C$318:$I$318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Лист1!$C$323:$I$323</c:f>
              <c:numCach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0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Лист1!$C$276:$I$276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Лист1!$C$281:$I$281</c:f>
              <c:numCach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2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Лист1!$C$287:$I$287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Лист1!$C$292:$I$292</c:f>
              <c:numCach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2"/>
          <c:order val="3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Лист1!$C$297:$I$297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Лист1!$C$302:$I$302</c:f>
              <c:numCach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3"/>
          <c:order val="4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Лист1!$C$307:$I$307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Лист1!$C$312:$I$312</c:f>
              <c:numCach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5668596"/>
        <c:axId val="31085845"/>
      </c:scatterChart>
      <c:valAx>
        <c:axId val="56685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31085845"/>
        <c:crosses val="autoZero"/>
        <c:crossBetween val="midCat"/>
        <c:dispUnits/>
        <c:majorUnit val="5"/>
      </c:valAx>
      <c:valAx>
        <c:axId val="31085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Уд.крюковой расход топл.г/кВт.ч</a:t>
                </a:r>
              </a:p>
            </c:rich>
          </c:tx>
          <c:layout>
            <c:manualLayout>
              <c:xMode val="factor"/>
              <c:yMode val="factor"/>
              <c:x val="-0.0085"/>
              <c:y val="0.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68596"/>
        <c:crosses val="autoZero"/>
        <c:crossBetween val="midCat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Лучевая диаграмма Рк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8"/>
          <c:w val="0.88825"/>
          <c:h val="0.67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Лист1!$Q$115:$S$115</c:f>
              <c:numCache/>
            </c:numRef>
          </c:xVal>
          <c:yVal>
            <c:numRef>
              <c:f>Лист1!$Q$116:$S$116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Лист1!$Q$115:$S$115</c:f>
              <c:numCache/>
            </c:numRef>
          </c:xVal>
          <c:yVal>
            <c:numRef>
              <c:f>Лист1!$Q$117:$S$117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Лист1!$Q$115:$S$115</c:f>
              <c:numCache/>
            </c:numRef>
          </c:xVal>
          <c:yVal>
            <c:numRef>
              <c:f>Лист1!$Q$118:$S$118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Лист1!$Q$115:$S$115</c:f>
              <c:numCache/>
            </c:numRef>
          </c:xVal>
          <c:yVal>
            <c:numRef>
              <c:f>Лист1!$Q$119:$S$119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Лист1!$Q$115:$S$115</c:f>
              <c:numCache/>
            </c:numRef>
          </c:xVal>
          <c:yVal>
            <c:numRef>
              <c:f>Лист1!$Q$120:$S$120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Лист1!$Q$115:$S$115</c:f>
              <c:numCache/>
            </c:numRef>
          </c:xVal>
          <c:yVal>
            <c:numRef>
              <c:f>Лист1!$Q$121:$S$121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Лист1!$Q$115:$S$115</c:f>
              <c:numCache/>
            </c:numRef>
          </c:xVal>
          <c:yVal>
            <c:numRef>
              <c:f>Лист1!$Q$122:$S$122</c:f>
              <c:numCache/>
            </c:numRef>
          </c:yVal>
          <c:smooth val="0"/>
        </c:ser>
        <c:axId val="7804452"/>
        <c:axId val="51547077"/>
      </c:scatterChart>
      <c:valAx>
        <c:axId val="7804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Момент двигателя, Нм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47077"/>
        <c:crosses val="autoZero"/>
        <c:crossBetween val="midCat"/>
        <c:dispUnits/>
      </c:valAx>
      <c:valAx>
        <c:axId val="51547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Касательная сила тяги , Н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04452"/>
        <c:crosses val="autoZero"/>
        <c:crossBetween val="midCat"/>
        <c:dispUnits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теоретических скоростей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0515"/>
          <c:w val="0.8882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Лист1!$N$186:$P$186</c:f>
              <c:numCache/>
            </c:numRef>
          </c:xVal>
          <c:yVal>
            <c:numRef>
              <c:f>Лист1!$N$187:$P$187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FFFF"/>
                </a:solidFill>
              </a:ln>
            </c:spPr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ize val="5"/>
              <c:spPr>
                <a:solidFill>
                  <a:srgbClr val="FF00FF"/>
                </a:solidFill>
                <a:ln>
                  <a:solidFill>
                    <a:srgbClr val="FFFFFF"/>
                  </a:solidFill>
                </a:ln>
              </c:spPr>
            </c:marker>
          </c:dPt>
          <c:xVal>
            <c:numRef>
              <c:f>Лист1!$N$186:$P$186</c:f>
              <c:numCache/>
            </c:numRef>
          </c:xVal>
          <c:yVal>
            <c:numRef>
              <c:f>Лист1!$N$188:$P$188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Лист1!$N$186:$P$186</c:f>
              <c:numCache/>
            </c:numRef>
          </c:xVal>
          <c:yVal>
            <c:numRef>
              <c:f>Лист1!$N$189:$P$189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Лист1!$N$186:$P$186</c:f>
              <c:numCache/>
            </c:numRef>
          </c:xVal>
          <c:yVal>
            <c:numRef>
              <c:f>Лист1!$N$190:$P$190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Лист1!$N$186:$P$186</c:f>
              <c:numCache/>
            </c:numRef>
          </c:xVal>
          <c:yVal>
            <c:numRef>
              <c:f>Лист1!$N$191:$P$191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Лист1!$N$186:$P$186</c:f>
              <c:numCache/>
            </c:numRef>
          </c:xVal>
          <c:yVal>
            <c:numRef>
              <c:f>Лист1!$N$192:$P$192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Лист1!$N$186:$P$186</c:f>
              <c:numCache/>
            </c:numRef>
          </c:xVal>
          <c:yVal>
            <c:numRef>
              <c:f>Лист1!$N$193:$P$193</c:f>
              <c:numCache/>
            </c:numRef>
          </c:yVal>
          <c:smooth val="0"/>
        </c:ser>
        <c:axId val="33055374"/>
        <c:axId val="13093055"/>
      </c:scatterChart>
      <c:valAx>
        <c:axId val="33055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частота вращения двигателя, об/мин</a:t>
                </a:r>
              </a:p>
            </c:rich>
          </c:tx>
          <c:layout>
            <c:manualLayout>
              <c:xMode val="factor"/>
              <c:yMode val="factor"/>
              <c:x val="0.01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93055"/>
        <c:crosses val="autoZero"/>
        <c:crossBetween val="midCat"/>
        <c:dispUnits/>
      </c:valAx>
      <c:valAx>
        <c:axId val="13093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скорость, м/с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55374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скоростей (</a:t>
            </a:r>
            <a:r>
              <a: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верхняя -</a:t>
            </a:r>
            <a:r>
              <a: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V</a:t>
            </a:r>
            <a:r>
              <a: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т, нижняя -</a:t>
            </a:r>
            <a:r>
              <a: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V) 
</a:t>
            </a: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 буксования</a:t>
            </a:r>
          </a:p>
        </c:rich>
      </c:tx>
      <c:layout>
        <c:manualLayout>
          <c:xMode val="factor"/>
          <c:yMode val="factor"/>
          <c:x val="-0.0022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1915"/>
          <c:w val="0.638"/>
          <c:h val="0.639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Лист1!$C$206:$I$206</c:f>
              <c:numCache/>
            </c:numRef>
          </c:xVal>
          <c:yVal>
            <c:numRef>
              <c:f>Лист1!$C$207:$I$207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Лист1!$C$206:$I$206</c:f>
              <c:numCache/>
            </c:numRef>
          </c:xVal>
          <c:yVal>
            <c:numRef>
              <c:f>Лист1!$C$208:$I$208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Лист1!$C$206:$I$206</c:f>
              <c:numCache/>
            </c:numRef>
          </c:xVal>
          <c:yVal>
            <c:numRef>
              <c:f>Лист1!$C$209:$I$209</c:f>
              <c:numCache/>
            </c:numRef>
          </c:yVal>
          <c:smooth val="1"/>
        </c:ser>
        <c:axId val="67053208"/>
        <c:axId val="64826969"/>
      </c:scatterChart>
      <c:valAx>
        <c:axId val="67053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Тяговое усилие, кН</a:t>
                </a:r>
              </a:p>
            </c:rich>
          </c:tx>
          <c:layout>
            <c:manualLayout>
              <c:xMode val="factor"/>
              <c:yMode val="factor"/>
              <c:x val="0.011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26969"/>
        <c:crosses val="autoZero"/>
        <c:crossBetween val="midCat"/>
        <c:dispUnits/>
      </c:valAx>
      <c:valAx>
        <c:axId val="64826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Скорость, м/с и буксование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9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53208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Зависимость </a:t>
            </a:r>
            <a:r>
              <a:rPr lang="en-US" cap="none" sz="8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N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кр</a:t>
            </a: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=</a:t>
            </a:r>
            <a:r>
              <a:rPr lang="en-US" cap="none" sz="8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f(P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кр</a:t>
            </a: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) для 1-ой передачи</a:t>
            </a:r>
          </a:p>
        </c:rich>
      </c:tx>
      <c:layout>
        <c:manualLayout>
          <c:xMode val="factor"/>
          <c:yMode val="factor"/>
          <c:x val="-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25"/>
          <c:y val="0.20425"/>
          <c:w val="0.8385"/>
          <c:h val="0.62375"/>
        </c:manualLayout>
      </c:layout>
      <c:scatterChart>
        <c:scatterStyle val="smoothMarker"/>
        <c:varyColors val="0"/>
        <c:ser>
          <c:idx val="1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Лист1!$S$205:$Y$205</c:f>
              <c:numCache/>
            </c:numRef>
          </c:xVal>
          <c:yVal>
            <c:numRef>
              <c:f>Лист1!$S$207:$Y$207</c:f>
              <c:numCache/>
            </c:numRef>
          </c:yVal>
          <c:smooth val="1"/>
        </c:ser>
        <c:axId val="40660034"/>
        <c:axId val="56448659"/>
      </c:scatterChart>
      <c:valAx>
        <c:axId val="40660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Тяговое усилие,кН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48659"/>
        <c:crosses val="autoZero"/>
        <c:crossBetween val="midCat"/>
        <c:dispUnits/>
      </c:valAx>
      <c:valAx>
        <c:axId val="56448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Мощность на крюке,кВт</a:t>
                </a:r>
              </a:p>
            </c:rich>
          </c:tx>
          <c:layout>
            <c:manualLayout>
              <c:xMode val="factor"/>
              <c:yMode val="factor"/>
              <c:x val="-0.017"/>
              <c:y val="-0.09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660034"/>
        <c:crosses val="autoZero"/>
        <c:crossBetween val="midCat"/>
        <c:dispUnits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Удельный крюковой расход топлива на 1-ой передаче</a:t>
            </a:r>
          </a:p>
        </c:rich>
      </c:tx>
      <c:layout>
        <c:manualLayout>
          <c:xMode val="factor"/>
          <c:yMode val="factor"/>
          <c:x val="0.070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25"/>
          <c:w val="0.881"/>
          <c:h val="0.604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Лист1!$T$205:$Y$205</c:f>
              <c:numCache/>
            </c:numRef>
          </c:xVal>
          <c:yVal>
            <c:numRef>
              <c:f>Лист1!$T$206:$Y$206</c:f>
              <c:numCache/>
            </c:numRef>
          </c:yVal>
          <c:smooth val="1"/>
        </c:ser>
        <c:ser>
          <c:idx val="3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Лист1!$T$205:$Y$205</c:f>
              <c:numCache/>
            </c:numRef>
          </c:xVal>
          <c:yVal>
            <c:numRef>
              <c:f>Лист1!$T$209:$Y$209</c:f>
              <c:numCache/>
            </c:numRef>
          </c:yVal>
          <c:smooth val="1"/>
        </c:ser>
        <c:axId val="32693644"/>
        <c:axId val="65370989"/>
      </c:scatterChart>
      <c:valAx>
        <c:axId val="32693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Тяговое усилие, кН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70989"/>
        <c:crosses val="autoZero"/>
        <c:crossBetween val="midCat"/>
        <c:dispUnits/>
      </c:valAx>
      <c:valAx>
        <c:axId val="65370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g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е, г/кВт.ч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CCCFF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93644"/>
        <c:crosses val="autoZero"/>
        <c:crossBetween val="midCat"/>
        <c:dispUnits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Кривая буксования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218"/>
          <c:w val="0.881"/>
          <c:h val="0.611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Лист1!$C$161:$I$161</c:f>
              <c:numCache/>
            </c:numRef>
          </c:xVal>
          <c:yVal>
            <c:numRef>
              <c:f>Лист1!$C$163:$I$163</c:f>
              <c:numCache/>
            </c:numRef>
          </c:yVal>
          <c:smooth val="1"/>
        </c:ser>
        <c:axId val="62964854"/>
        <c:axId val="31422183"/>
      </c:scatterChart>
      <c:valAx>
        <c:axId val="62964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Тяговое сопротивление,кН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22183"/>
        <c:crosses val="autoZero"/>
        <c:crossBetween val="midCat"/>
        <c:dispUnits/>
      </c:valAx>
      <c:valAx>
        <c:axId val="31422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Буксование,%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64854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Тяговая характеристика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085"/>
          <c:w val="0.9105"/>
          <c:h val="0.722"/>
        </c:manualLayout>
      </c:layout>
      <c:scatterChart>
        <c:scatterStyle val="smoothMarker"/>
        <c:varyColors val="0"/>
        <c:ser>
          <c:idx val="2"/>
          <c:order val="0"/>
          <c:tx>
            <c:strRef>
              <c:f>Лист1!$B$279</c:f>
              <c:strCache>
                <c:ptCount val="1"/>
                <c:pt idx="0">
                  <c:v>v, м/с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Лист1!$C$276:$I$276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Лист1!$C$279:$I$279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/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Лист1!$C$287:$I$287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Лист1!$C$290:$I$290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2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Лист1!$C$318:$I$318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Лист1!$C$321:$I$321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3"/>
          <c:order val="3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Лист1!$C$297:$I$297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Лист1!$C$300:$I$300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4"/>
          <c:order val="4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9966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Лист1!$C$307:$I$307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Лист1!$C$310:$I$310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13241088"/>
        <c:axId val="6013697"/>
      </c:scatterChart>
      <c:valAx>
        <c:axId val="132410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013697"/>
        <c:crosses val="autoZero"/>
        <c:crossBetween val="midCat"/>
        <c:dispUnits/>
      </c:valAx>
      <c:valAx>
        <c:axId val="6013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Скорость, м/с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241088"/>
        <c:crosses val="autoZero"/>
        <c:crossBetween val="midCat"/>
        <c:dispUnits/>
      </c:valAx>
      <c:spPr>
        <a:solidFill>
          <a:srgbClr val="CCCC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"/>
          <c:w val="0.9185"/>
          <c:h val="0.8265"/>
        </c:manualLayout>
      </c:layout>
      <c:scatterChart>
        <c:scatterStyle val="smoothMarker"/>
        <c:varyColors val="0"/>
        <c:ser>
          <c:idx val="3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Лист1!$C$276:$I$276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Лист1!$C$280:$I$280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0"/>
          <c:order val="1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Лист1!$C$287:$I$287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Лист1!$C$291:$I$291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2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Лист1!$C$297:$I$297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Лист1!$C$301:$I$301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2"/>
          <c:order val="3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Лист1!$C$307:$I$307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Лист1!$C$311:$I$311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4"/>
          <c:order val="4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Лист1!$C$276:$I$276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Лист1!$C$277:$I$277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Лист1!$C$318:$I$318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Лист1!$C$322:$I$322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45234986"/>
        <c:axId val="42695099"/>
      </c:scatterChart>
      <c:valAx>
        <c:axId val="45234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Тяговое усилие,кН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95099"/>
        <c:crosses val="autoZero"/>
        <c:crossBetween val="midCat"/>
        <c:dispUnits/>
      </c:valAx>
      <c:valAx>
        <c:axId val="42695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Мощность,кВт
Буксование,%</a:t>
                </a:r>
              </a:p>
            </c:rich>
          </c:tx>
          <c:layout>
            <c:manualLayout>
              <c:xMode val="factor"/>
              <c:yMode val="factor"/>
              <c:x val="-0.002"/>
              <c:y val="-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234986"/>
        <c:crosses val="autoZero"/>
        <c:crossBetween val="midCat"/>
        <c:dispUnits/>
      </c:valAx>
      <c:spPr>
        <a:solidFill>
          <a:srgbClr val="CCCC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58</xdr:row>
      <xdr:rowOff>28575</xdr:rowOff>
    </xdr:from>
    <xdr:to>
      <xdr:col>6</xdr:col>
      <xdr:colOff>323850</xdr:colOff>
      <xdr:row>75</xdr:row>
      <xdr:rowOff>9525</xdr:rowOff>
    </xdr:to>
    <xdr:graphicFrame>
      <xdr:nvGraphicFramePr>
        <xdr:cNvPr id="1" name="Chart 1"/>
        <xdr:cNvGraphicFramePr/>
      </xdr:nvGraphicFramePr>
      <xdr:xfrm>
        <a:off x="114300" y="10086975"/>
        <a:ext cx="46767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6</xdr:row>
      <xdr:rowOff>123825</xdr:rowOff>
    </xdr:from>
    <xdr:to>
      <xdr:col>6</xdr:col>
      <xdr:colOff>476250</xdr:colOff>
      <xdr:row>6</xdr:row>
      <xdr:rowOff>123825</xdr:rowOff>
    </xdr:to>
    <xdr:sp>
      <xdr:nvSpPr>
        <xdr:cNvPr id="2" name="Line 6"/>
        <xdr:cNvSpPr>
          <a:spLocks/>
        </xdr:cNvSpPr>
      </xdr:nvSpPr>
      <xdr:spPr>
        <a:xfrm>
          <a:off x="2428875" y="1190625"/>
          <a:ext cx="25146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238125</xdr:colOff>
      <xdr:row>7</xdr:row>
      <xdr:rowOff>104775</xdr:rowOff>
    </xdr:from>
    <xdr:to>
      <xdr:col>5</xdr:col>
      <xdr:colOff>428625</xdr:colOff>
      <xdr:row>7</xdr:row>
      <xdr:rowOff>104775</xdr:rowOff>
    </xdr:to>
    <xdr:sp>
      <xdr:nvSpPr>
        <xdr:cNvPr id="3" name="Line 7"/>
        <xdr:cNvSpPr>
          <a:spLocks/>
        </xdr:cNvSpPr>
      </xdr:nvSpPr>
      <xdr:spPr>
        <a:xfrm>
          <a:off x="4019550" y="13811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114300</xdr:rowOff>
    </xdr:from>
    <xdr:to>
      <xdr:col>2</xdr:col>
      <xdr:colOff>523875</xdr:colOff>
      <xdr:row>6</xdr:row>
      <xdr:rowOff>114300</xdr:rowOff>
    </xdr:to>
    <xdr:sp>
      <xdr:nvSpPr>
        <xdr:cNvPr id="4" name="Line 8"/>
        <xdr:cNvSpPr>
          <a:spLocks/>
        </xdr:cNvSpPr>
      </xdr:nvSpPr>
      <xdr:spPr>
        <a:xfrm>
          <a:off x="1485900" y="1181100"/>
          <a:ext cx="495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619125</xdr:colOff>
      <xdr:row>31</xdr:row>
      <xdr:rowOff>76200</xdr:rowOff>
    </xdr:from>
    <xdr:to>
      <xdr:col>2</xdr:col>
      <xdr:colOff>257175</xdr:colOff>
      <xdr:row>31</xdr:row>
      <xdr:rowOff>76200</xdr:rowOff>
    </xdr:to>
    <xdr:sp>
      <xdr:nvSpPr>
        <xdr:cNvPr id="5" name="Line 10"/>
        <xdr:cNvSpPr>
          <a:spLocks/>
        </xdr:cNvSpPr>
      </xdr:nvSpPr>
      <xdr:spPr>
        <a:xfrm>
          <a:off x="619125" y="5467350"/>
          <a:ext cx="1104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609600</xdr:colOff>
      <xdr:row>31</xdr:row>
      <xdr:rowOff>85725</xdr:rowOff>
    </xdr:from>
    <xdr:to>
      <xdr:col>8</xdr:col>
      <xdr:colOff>85725</xdr:colOff>
      <xdr:row>31</xdr:row>
      <xdr:rowOff>85725</xdr:rowOff>
    </xdr:to>
    <xdr:sp>
      <xdr:nvSpPr>
        <xdr:cNvPr id="6" name="Line 11"/>
        <xdr:cNvSpPr>
          <a:spLocks/>
        </xdr:cNvSpPr>
      </xdr:nvSpPr>
      <xdr:spPr>
        <a:xfrm>
          <a:off x="2076450" y="5476875"/>
          <a:ext cx="3848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32</xdr:row>
      <xdr:rowOff>85725</xdr:rowOff>
    </xdr:from>
    <xdr:to>
      <xdr:col>5</xdr:col>
      <xdr:colOff>628650</xdr:colOff>
      <xdr:row>32</xdr:row>
      <xdr:rowOff>85725</xdr:rowOff>
    </xdr:to>
    <xdr:sp>
      <xdr:nvSpPr>
        <xdr:cNvPr id="7" name="Line 12"/>
        <xdr:cNvSpPr>
          <a:spLocks/>
        </xdr:cNvSpPr>
      </xdr:nvSpPr>
      <xdr:spPr>
        <a:xfrm>
          <a:off x="4286250" y="5638800"/>
          <a:ext cx="133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581025</xdr:colOff>
      <xdr:row>81</xdr:row>
      <xdr:rowOff>76200</xdr:rowOff>
    </xdr:from>
    <xdr:to>
      <xdr:col>5</xdr:col>
      <xdr:colOff>104775</xdr:colOff>
      <xdr:row>81</xdr:row>
      <xdr:rowOff>76200</xdr:rowOff>
    </xdr:to>
    <xdr:sp>
      <xdr:nvSpPr>
        <xdr:cNvPr id="8" name="Line 13"/>
        <xdr:cNvSpPr>
          <a:spLocks/>
        </xdr:cNvSpPr>
      </xdr:nvSpPr>
      <xdr:spPr>
        <a:xfrm>
          <a:off x="2990850" y="13896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342900</xdr:colOff>
      <xdr:row>81</xdr:row>
      <xdr:rowOff>66675</xdr:rowOff>
    </xdr:from>
    <xdr:to>
      <xdr:col>8</xdr:col>
      <xdr:colOff>152400</xdr:colOff>
      <xdr:row>81</xdr:row>
      <xdr:rowOff>76200</xdr:rowOff>
    </xdr:to>
    <xdr:sp>
      <xdr:nvSpPr>
        <xdr:cNvPr id="9" name="Line 14"/>
        <xdr:cNvSpPr>
          <a:spLocks/>
        </xdr:cNvSpPr>
      </xdr:nvSpPr>
      <xdr:spPr>
        <a:xfrm>
          <a:off x="4124325" y="13887450"/>
          <a:ext cx="18669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600075</xdr:colOff>
      <xdr:row>85</xdr:row>
      <xdr:rowOff>76200</xdr:rowOff>
    </xdr:from>
    <xdr:to>
      <xdr:col>4</xdr:col>
      <xdr:colOff>647700</xdr:colOff>
      <xdr:row>85</xdr:row>
      <xdr:rowOff>76200</xdr:rowOff>
    </xdr:to>
    <xdr:sp>
      <xdr:nvSpPr>
        <xdr:cNvPr id="10" name="Line 15"/>
        <xdr:cNvSpPr>
          <a:spLocks/>
        </xdr:cNvSpPr>
      </xdr:nvSpPr>
      <xdr:spPr>
        <a:xfrm>
          <a:off x="3009900" y="14573250"/>
          <a:ext cx="733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304800</xdr:colOff>
      <xdr:row>85</xdr:row>
      <xdr:rowOff>76200</xdr:rowOff>
    </xdr:from>
    <xdr:to>
      <xdr:col>8</xdr:col>
      <xdr:colOff>161925</xdr:colOff>
      <xdr:row>85</xdr:row>
      <xdr:rowOff>76200</xdr:rowOff>
    </xdr:to>
    <xdr:sp>
      <xdr:nvSpPr>
        <xdr:cNvPr id="11" name="Line 16"/>
        <xdr:cNvSpPr>
          <a:spLocks/>
        </xdr:cNvSpPr>
      </xdr:nvSpPr>
      <xdr:spPr>
        <a:xfrm>
          <a:off x="4086225" y="14573250"/>
          <a:ext cx="1914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457200</xdr:colOff>
      <xdr:row>94</xdr:row>
      <xdr:rowOff>76200</xdr:rowOff>
    </xdr:from>
    <xdr:to>
      <xdr:col>8</xdr:col>
      <xdr:colOff>142875</xdr:colOff>
      <xdr:row>94</xdr:row>
      <xdr:rowOff>76200</xdr:rowOff>
    </xdr:to>
    <xdr:sp>
      <xdr:nvSpPr>
        <xdr:cNvPr id="12" name="Line 17"/>
        <xdr:cNvSpPr>
          <a:spLocks/>
        </xdr:cNvSpPr>
      </xdr:nvSpPr>
      <xdr:spPr>
        <a:xfrm>
          <a:off x="4238625" y="16068675"/>
          <a:ext cx="174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171450</xdr:colOff>
      <xdr:row>119</xdr:row>
      <xdr:rowOff>95250</xdr:rowOff>
    </xdr:from>
    <xdr:to>
      <xdr:col>7</xdr:col>
      <xdr:colOff>619125</xdr:colOff>
      <xdr:row>133</xdr:row>
      <xdr:rowOff>0</xdr:rowOff>
    </xdr:to>
    <xdr:graphicFrame>
      <xdr:nvGraphicFramePr>
        <xdr:cNvPr id="13" name="Chart 20"/>
        <xdr:cNvGraphicFramePr/>
      </xdr:nvGraphicFramePr>
      <xdr:xfrm>
        <a:off x="1638300" y="20307300"/>
        <a:ext cx="413385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200025</xdr:colOff>
      <xdr:row>137</xdr:row>
      <xdr:rowOff>85725</xdr:rowOff>
    </xdr:from>
    <xdr:to>
      <xdr:col>5</xdr:col>
      <xdr:colOff>419100</xdr:colOff>
      <xdr:row>137</xdr:row>
      <xdr:rowOff>85725</xdr:rowOff>
    </xdr:to>
    <xdr:sp>
      <xdr:nvSpPr>
        <xdr:cNvPr id="14" name="Line 21"/>
        <xdr:cNvSpPr>
          <a:spLocks/>
        </xdr:cNvSpPr>
      </xdr:nvSpPr>
      <xdr:spPr>
        <a:xfrm>
          <a:off x="3981450" y="23250525"/>
          <a:ext cx="219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552450</xdr:colOff>
      <xdr:row>187</xdr:row>
      <xdr:rowOff>95250</xdr:rowOff>
    </xdr:from>
    <xdr:to>
      <xdr:col>7</xdr:col>
      <xdr:colOff>228600</xdr:colOff>
      <xdr:row>198</xdr:row>
      <xdr:rowOff>123825</xdr:rowOff>
    </xdr:to>
    <xdr:graphicFrame>
      <xdr:nvGraphicFramePr>
        <xdr:cNvPr id="15" name="Chart 24"/>
        <xdr:cNvGraphicFramePr/>
      </xdr:nvGraphicFramePr>
      <xdr:xfrm>
        <a:off x="1238250" y="31842075"/>
        <a:ext cx="4143375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57150</xdr:colOff>
      <xdr:row>209</xdr:row>
      <xdr:rowOff>28575</xdr:rowOff>
    </xdr:from>
    <xdr:to>
      <xdr:col>8</xdr:col>
      <xdr:colOff>609600</xdr:colOff>
      <xdr:row>222</xdr:row>
      <xdr:rowOff>0</xdr:rowOff>
    </xdr:to>
    <xdr:graphicFrame>
      <xdr:nvGraphicFramePr>
        <xdr:cNvPr id="16" name="Chart 25"/>
        <xdr:cNvGraphicFramePr/>
      </xdr:nvGraphicFramePr>
      <xdr:xfrm>
        <a:off x="1524000" y="35575875"/>
        <a:ext cx="4924425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419100</xdr:colOff>
      <xdr:row>232</xdr:row>
      <xdr:rowOff>38100</xdr:rowOff>
    </xdr:from>
    <xdr:to>
      <xdr:col>7</xdr:col>
      <xdr:colOff>619125</xdr:colOff>
      <xdr:row>243</xdr:row>
      <xdr:rowOff>114300</xdr:rowOff>
    </xdr:to>
    <xdr:graphicFrame>
      <xdr:nvGraphicFramePr>
        <xdr:cNvPr id="17" name="Chart 29"/>
        <xdr:cNvGraphicFramePr/>
      </xdr:nvGraphicFramePr>
      <xdr:xfrm>
        <a:off x="1885950" y="39338250"/>
        <a:ext cx="3886200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771525</xdr:colOff>
      <xdr:row>253</xdr:row>
      <xdr:rowOff>38100</xdr:rowOff>
    </xdr:from>
    <xdr:to>
      <xdr:col>7</xdr:col>
      <xdr:colOff>190500</xdr:colOff>
      <xdr:row>266</xdr:row>
      <xdr:rowOff>114300</xdr:rowOff>
    </xdr:to>
    <xdr:graphicFrame>
      <xdr:nvGraphicFramePr>
        <xdr:cNvPr id="18" name="Chart 30"/>
        <xdr:cNvGraphicFramePr/>
      </xdr:nvGraphicFramePr>
      <xdr:xfrm>
        <a:off x="1457325" y="42757725"/>
        <a:ext cx="3886200" cy="2181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323850</xdr:colOff>
      <xdr:row>164</xdr:row>
      <xdr:rowOff>95250</xdr:rowOff>
    </xdr:from>
    <xdr:to>
      <xdr:col>7</xdr:col>
      <xdr:colOff>523875</xdr:colOff>
      <xdr:row>175</xdr:row>
      <xdr:rowOff>85725</xdr:rowOff>
    </xdr:to>
    <xdr:graphicFrame>
      <xdr:nvGraphicFramePr>
        <xdr:cNvPr id="19" name="Chart 31"/>
        <xdr:cNvGraphicFramePr/>
      </xdr:nvGraphicFramePr>
      <xdr:xfrm>
        <a:off x="1790700" y="27793950"/>
        <a:ext cx="3886200" cy="1876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771525</xdr:colOff>
      <xdr:row>11</xdr:row>
      <xdr:rowOff>95250</xdr:rowOff>
    </xdr:from>
    <xdr:to>
      <xdr:col>4</xdr:col>
      <xdr:colOff>238125</xdr:colOff>
      <xdr:row>11</xdr:row>
      <xdr:rowOff>95250</xdr:rowOff>
    </xdr:to>
    <xdr:sp>
      <xdr:nvSpPr>
        <xdr:cNvPr id="20" name="Line 55"/>
        <xdr:cNvSpPr>
          <a:spLocks/>
        </xdr:cNvSpPr>
      </xdr:nvSpPr>
      <xdr:spPr>
        <a:xfrm>
          <a:off x="2238375" y="2095500"/>
          <a:ext cx="1095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19050</xdr:rowOff>
    </xdr:from>
    <xdr:to>
      <xdr:col>10</xdr:col>
      <xdr:colOff>47625</xdr:colOff>
      <xdr:row>13</xdr:row>
      <xdr:rowOff>85725</xdr:rowOff>
    </xdr:to>
    <xdr:graphicFrame>
      <xdr:nvGraphicFramePr>
        <xdr:cNvPr id="1" name="Chart 1026"/>
        <xdr:cNvGraphicFramePr/>
      </xdr:nvGraphicFramePr>
      <xdr:xfrm>
        <a:off x="1438275" y="19050"/>
        <a:ext cx="54673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647700</xdr:colOff>
      <xdr:row>18</xdr:row>
      <xdr:rowOff>9525</xdr:rowOff>
    </xdr:from>
    <xdr:to>
      <xdr:col>10</xdr:col>
      <xdr:colOff>85725</xdr:colOff>
      <xdr:row>30</xdr:row>
      <xdr:rowOff>19050</xdr:rowOff>
    </xdr:to>
    <xdr:graphicFrame>
      <xdr:nvGraphicFramePr>
        <xdr:cNvPr id="2" name="Chart 1027"/>
        <xdr:cNvGraphicFramePr/>
      </xdr:nvGraphicFramePr>
      <xdr:xfrm>
        <a:off x="1333500" y="2924175"/>
        <a:ext cx="561022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219075</xdr:colOff>
      <xdr:row>9</xdr:row>
      <xdr:rowOff>28575</xdr:rowOff>
    </xdr:from>
    <xdr:to>
      <xdr:col>9</xdr:col>
      <xdr:colOff>657225</xdr:colOff>
      <xdr:row>19</xdr:row>
      <xdr:rowOff>114300</xdr:rowOff>
    </xdr:to>
    <xdr:graphicFrame>
      <xdr:nvGraphicFramePr>
        <xdr:cNvPr id="3" name="Chart 1028"/>
        <xdr:cNvGraphicFramePr/>
      </xdr:nvGraphicFramePr>
      <xdr:xfrm>
        <a:off x="904875" y="1485900"/>
        <a:ext cx="5924550" cy="170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2:L39"/>
  <sheetViews>
    <sheetView zoomScalePageLayoutView="0" workbookViewId="0" topLeftCell="A23">
      <selection activeCell="F32" sqref="F32:F36"/>
    </sheetView>
  </sheetViews>
  <sheetFormatPr defaultColWidth="9.00390625" defaultRowHeight="12.75"/>
  <sheetData>
    <row r="22" spans="2:12" ht="12.75">
      <c r="B22" s="103" t="s">
        <v>228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2:12" ht="12.75">
      <c r="B23" s="34" t="s">
        <v>229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2:12" ht="12.75">
      <c r="B24" s="34" t="s">
        <v>230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2:12" ht="12.75">
      <c r="B25" s="34" t="s">
        <v>231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2:12" ht="12.75">
      <c r="B26" s="34" t="s">
        <v>232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2:12" ht="12.75">
      <c r="B27" s="34" t="s">
        <v>233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2:12" ht="12.75">
      <c r="B28" s="34" t="s">
        <v>234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2:12" ht="12.75">
      <c r="B29" s="34" t="s">
        <v>235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2:12" ht="12.7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ht="12.75">
      <c r="B31" t="s">
        <v>236</v>
      </c>
    </row>
    <row r="32" spans="2:6" ht="12.75">
      <c r="B32" t="s">
        <v>237</v>
      </c>
      <c r="F32" s="104"/>
    </row>
    <row r="33" spans="2:6" ht="12.75">
      <c r="B33" t="s">
        <v>238</v>
      </c>
      <c r="F33" s="104"/>
    </row>
    <row r="34" spans="2:6" ht="12.75">
      <c r="B34" t="s">
        <v>239</v>
      </c>
      <c r="C34" t="s">
        <v>242</v>
      </c>
      <c r="F34" s="104"/>
    </row>
    <row r="35" spans="3:6" ht="12.75">
      <c r="C35" t="s">
        <v>241</v>
      </c>
      <c r="F35" s="104"/>
    </row>
    <row r="36" spans="3:6" ht="12.75">
      <c r="C36" t="s">
        <v>243</v>
      </c>
      <c r="F36" s="104"/>
    </row>
    <row r="37" spans="3:6" ht="12.75">
      <c r="C37" t="s">
        <v>244</v>
      </c>
      <c r="F37" s="104"/>
    </row>
    <row r="39" ht="12.75">
      <c r="B39" t="s">
        <v>240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PowerPoint.Slide.8" shapeId="55220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Y345"/>
  <sheetViews>
    <sheetView tabSelected="1" zoomScalePageLayoutView="0" workbookViewId="0" topLeftCell="A1">
      <selection activeCell="B336" sqref="B336"/>
    </sheetView>
  </sheetViews>
  <sheetFormatPr defaultColWidth="9.00390625" defaultRowHeight="12.75"/>
  <cols>
    <col min="2" max="2" width="10.25390625" style="0" bestFit="1" customWidth="1"/>
    <col min="3" max="3" width="12.375" style="0" bestFit="1" customWidth="1"/>
  </cols>
  <sheetData>
    <row r="1" ht="13.5" thickBot="1"/>
    <row r="2" spans="3:10" ht="16.5" thickTop="1">
      <c r="C2" s="1" t="s">
        <v>161</v>
      </c>
      <c r="J2" s="105">
        <f>Лист0!$F$32</f>
        <v>0</v>
      </c>
    </row>
    <row r="3" ht="12.75">
      <c r="J3" s="106">
        <f>Лист0!$F$33</f>
        <v>0</v>
      </c>
    </row>
    <row r="4" spans="2:10" ht="12.75">
      <c r="B4" s="4" t="s">
        <v>162</v>
      </c>
      <c r="J4" s="106">
        <f>Лист0!$F$34</f>
        <v>0</v>
      </c>
    </row>
    <row r="5" spans="2:10" ht="12.75">
      <c r="B5" t="s">
        <v>8</v>
      </c>
      <c r="J5" s="106">
        <f>Лист0!$F$35</f>
        <v>0</v>
      </c>
    </row>
    <row r="6" spans="3:10" ht="15.75">
      <c r="C6" s="1" t="s">
        <v>2</v>
      </c>
      <c r="E6" s="101"/>
      <c r="J6" s="106">
        <f>Лист0!$F$36</f>
        <v>0</v>
      </c>
    </row>
    <row r="7" spans="2:10" ht="16.5" thickBot="1">
      <c r="B7" s="1" t="s">
        <v>3</v>
      </c>
      <c r="C7" s="3" t="s">
        <v>5</v>
      </c>
      <c r="D7" s="3" t="s">
        <v>4</v>
      </c>
      <c r="E7" s="3" t="s">
        <v>4</v>
      </c>
      <c r="F7" s="3" t="s">
        <v>4</v>
      </c>
      <c r="G7" s="3" t="s">
        <v>5</v>
      </c>
      <c r="H7" s="102" t="e">
        <f>E6/(D8*E8-G8)</f>
        <v>#DIV/0!</v>
      </c>
      <c r="I7" t="s">
        <v>1</v>
      </c>
      <c r="J7" s="107">
        <f>Лист0!$F$37</f>
        <v>0</v>
      </c>
    </row>
    <row r="8" spans="3:7" ht="16.5" thickTop="1">
      <c r="C8" s="2" t="s">
        <v>227</v>
      </c>
      <c r="D8" s="101"/>
      <c r="E8" s="101"/>
      <c r="F8" s="5"/>
      <c r="G8" s="101"/>
    </row>
    <row r="9" ht="12.75">
      <c r="H9" t="s">
        <v>163</v>
      </c>
    </row>
    <row r="10" ht="13.5" thickBot="1">
      <c r="B10" t="s">
        <v>6</v>
      </c>
    </row>
    <row r="11" spans="2:11" ht="14.25" thickBot="1" thickTop="1">
      <c r="B11" s="11"/>
      <c r="D11" s="101"/>
      <c r="H11" s="87" t="s">
        <v>211</v>
      </c>
      <c r="I11" s="88"/>
      <c r="J11" s="88"/>
      <c r="K11" s="89"/>
    </row>
    <row r="12" spans="2:11" ht="14.25" thickBot="1" thickTop="1">
      <c r="B12" s="6" t="s">
        <v>208</v>
      </c>
      <c r="D12" s="5" t="s">
        <v>220</v>
      </c>
      <c r="E12" t="s">
        <v>37</v>
      </c>
      <c r="F12" s="83" t="e">
        <f>D11/D13</f>
        <v>#DIV/0!</v>
      </c>
      <c r="G12" t="s">
        <v>7</v>
      </c>
      <c r="H12" s="90"/>
      <c r="I12" s="59" t="s">
        <v>12</v>
      </c>
      <c r="J12" s="59" t="s">
        <v>17</v>
      </c>
      <c r="K12" s="91" t="s">
        <v>207</v>
      </c>
    </row>
    <row r="13" spans="4:11" ht="14.25" thickBot="1" thickTop="1">
      <c r="D13" s="101"/>
      <c r="H13" s="92" t="s">
        <v>101</v>
      </c>
      <c r="I13" s="93" t="s">
        <v>209</v>
      </c>
      <c r="J13" s="93" t="s">
        <v>209</v>
      </c>
      <c r="K13" s="94" t="s">
        <v>210</v>
      </c>
    </row>
    <row r="14" ht="13.5" thickTop="1"/>
    <row r="15" ht="12.75">
      <c r="B15" s="4" t="s">
        <v>167</v>
      </c>
    </row>
    <row r="17" ht="13.5" customHeight="1">
      <c r="A17" t="s">
        <v>19</v>
      </c>
    </row>
    <row r="18" spans="3:6" ht="13.5" customHeight="1">
      <c r="C18" s="15" t="s">
        <v>31</v>
      </c>
      <c r="F18" s="16" t="e">
        <f>C24^E24*D24^F24*(1-G24)*I24</f>
        <v>#NUM!</v>
      </c>
    </row>
    <row r="19" ht="13.5" customHeight="1">
      <c r="A19" t="s">
        <v>20</v>
      </c>
    </row>
    <row r="20" spans="2:8" ht="12.75">
      <c r="B20" s="15" t="s">
        <v>43</v>
      </c>
      <c r="H20" s="83" t="e">
        <f>C24^E24*D24^F24*(1-G24)*H25+C25^E25*D25^F25*(1-G25)*(1-H25)</f>
        <v>#NUM!</v>
      </c>
    </row>
    <row r="21" ht="12.75">
      <c r="A21" t="s">
        <v>30</v>
      </c>
    </row>
    <row r="22" ht="13.5" thickBot="1">
      <c r="C22" t="s">
        <v>21</v>
      </c>
    </row>
    <row r="23" spans="2:10" ht="14.25" thickBot="1" thickTop="1">
      <c r="B23" s="78" t="s">
        <v>22</v>
      </c>
      <c r="C23" s="79" t="s">
        <v>27</v>
      </c>
      <c r="D23" s="79" t="s">
        <v>28</v>
      </c>
      <c r="E23" s="80" t="s">
        <v>23</v>
      </c>
      <c r="F23" s="80" t="s">
        <v>24</v>
      </c>
      <c r="G23" s="79" t="s">
        <v>26</v>
      </c>
      <c r="H23" s="80" t="s">
        <v>25</v>
      </c>
      <c r="I23" s="79" t="s">
        <v>29</v>
      </c>
      <c r="J23" s="81"/>
    </row>
    <row r="24" spans="2:10" ht="14.25" thickBot="1" thickTop="1">
      <c r="B24" s="78" t="s">
        <v>186</v>
      </c>
      <c r="C24" s="108"/>
      <c r="D24" s="108"/>
      <c r="E24" s="108"/>
      <c r="F24" s="108"/>
      <c r="G24" s="108"/>
      <c r="H24" s="108"/>
      <c r="I24" s="108"/>
      <c r="J24" s="82"/>
    </row>
    <row r="25" spans="2:10" ht="14.25" thickBot="1" thickTop="1">
      <c r="B25" s="78" t="s">
        <v>187</v>
      </c>
      <c r="C25" s="108"/>
      <c r="D25" s="108"/>
      <c r="E25" s="108"/>
      <c r="F25" s="108"/>
      <c r="G25" s="108"/>
      <c r="H25" s="108"/>
      <c r="I25" s="108"/>
      <c r="J25" s="82"/>
    </row>
    <row r="26" spans="2:9" ht="13.5" thickTop="1">
      <c r="B26" s="12"/>
      <c r="C26" s="14"/>
      <c r="D26" s="14"/>
      <c r="E26" s="14"/>
      <c r="F26" s="14"/>
      <c r="G26" s="14"/>
      <c r="H26" s="14"/>
      <c r="I26" s="14"/>
    </row>
    <row r="27" spans="2:9" ht="12.75">
      <c r="B27" s="12"/>
      <c r="C27" s="14"/>
      <c r="D27" s="14"/>
      <c r="E27" s="14"/>
      <c r="F27" s="14"/>
      <c r="G27" s="14"/>
      <c r="H27" s="14"/>
      <c r="I27" s="14"/>
    </row>
    <row r="28" spans="2:9" ht="12.75">
      <c r="B28" s="4" t="s">
        <v>168</v>
      </c>
      <c r="C28" s="14"/>
      <c r="D28" s="14"/>
      <c r="E28" s="14"/>
      <c r="F28" s="14"/>
      <c r="G28" s="14"/>
      <c r="H28" s="14"/>
      <c r="I28" s="14"/>
    </row>
    <row r="29" spans="2:9" ht="12.75">
      <c r="B29" s="12"/>
      <c r="C29" s="14"/>
      <c r="D29" s="14"/>
      <c r="E29" s="14"/>
      <c r="F29" s="14"/>
      <c r="G29" s="14"/>
      <c r="H29" s="14"/>
      <c r="I29" s="14"/>
    </row>
    <row r="30" spans="2:9" ht="12.75">
      <c r="B30" s="8" t="s">
        <v>164</v>
      </c>
      <c r="C30" s="14"/>
      <c r="D30" s="14"/>
      <c r="E30" s="18"/>
      <c r="F30" s="14"/>
      <c r="G30" s="14"/>
      <c r="H30" s="14"/>
      <c r="I30" s="14"/>
    </row>
    <row r="31" spans="2:9" ht="12.75">
      <c r="B31" s="4" t="s">
        <v>196</v>
      </c>
      <c r="C31" s="14" t="s">
        <v>197</v>
      </c>
      <c r="D31" s="101"/>
      <c r="E31" s="14" t="s">
        <v>36</v>
      </c>
      <c r="F31" s="101"/>
      <c r="G31" s="4" t="s">
        <v>33</v>
      </c>
      <c r="H31" s="101"/>
      <c r="I31" s="14"/>
    </row>
    <row r="32" spans="1:11" ht="12.75">
      <c r="A32" t="s">
        <v>165</v>
      </c>
      <c r="C32" s="4" t="s">
        <v>37</v>
      </c>
      <c r="D32" s="14"/>
      <c r="E32" s="14"/>
      <c r="F32" s="14"/>
      <c r="G32" s="14"/>
      <c r="H32" s="14"/>
      <c r="I32" s="14" t="s">
        <v>35</v>
      </c>
      <c r="J32" s="13" t="e">
        <f>(D31+F31)*H31/(D33*E33*(1-G33))</f>
        <v>#DIV/0!</v>
      </c>
      <c r="K32" t="s">
        <v>41</v>
      </c>
    </row>
    <row r="33" spans="2:8" ht="12.75">
      <c r="B33" s="4" t="s">
        <v>166</v>
      </c>
      <c r="C33" s="14"/>
      <c r="D33" s="101"/>
      <c r="E33" s="101"/>
      <c r="F33" s="109" t="s">
        <v>38</v>
      </c>
      <c r="G33" s="101"/>
      <c r="H33" s="17" t="s">
        <v>34</v>
      </c>
    </row>
    <row r="34" spans="2:9" ht="12.75">
      <c r="B34" s="12"/>
      <c r="C34" s="14"/>
      <c r="D34" s="14"/>
      <c r="E34" s="14"/>
      <c r="F34" s="14"/>
      <c r="G34" s="14"/>
      <c r="H34" s="14"/>
      <c r="I34" s="14"/>
    </row>
    <row r="35" spans="2:10" ht="12.75">
      <c r="B35" s="8" t="s">
        <v>42</v>
      </c>
      <c r="C35" s="14"/>
      <c r="D35" s="14"/>
      <c r="E35" s="14"/>
      <c r="F35" s="14"/>
      <c r="G35" s="14" t="s">
        <v>181</v>
      </c>
      <c r="I35" s="14"/>
      <c r="J35" t="s">
        <v>182</v>
      </c>
    </row>
    <row r="36" spans="2:10" ht="12.75">
      <c r="B36" s="8" t="s">
        <v>183</v>
      </c>
      <c r="C36" s="14"/>
      <c r="D36" s="14"/>
      <c r="E36" s="101"/>
      <c r="F36" s="110" t="s">
        <v>39</v>
      </c>
      <c r="G36" s="101"/>
      <c r="H36" s="14" t="s">
        <v>40</v>
      </c>
      <c r="I36" s="14">
        <f>E36*G36</f>
        <v>0</v>
      </c>
      <c r="J36" t="s">
        <v>7</v>
      </c>
    </row>
    <row r="37" spans="2:7" ht="13.5" thickBot="1">
      <c r="B37" s="84" t="s">
        <v>160</v>
      </c>
      <c r="C37" s="14"/>
      <c r="D37" s="14"/>
      <c r="E37" s="14"/>
      <c r="F37" s="14"/>
      <c r="G37" s="14"/>
    </row>
    <row r="38" spans="2:9" ht="12.75">
      <c r="B38" s="12"/>
      <c r="C38" s="14"/>
      <c r="D38" s="14"/>
      <c r="E38" s="14"/>
      <c r="F38" s="14"/>
      <c r="G38" s="14"/>
      <c r="H38" s="14"/>
      <c r="I38" s="14"/>
    </row>
    <row r="39" spans="2:9" ht="12.75">
      <c r="B39" s="4" t="s">
        <v>169</v>
      </c>
      <c r="C39" s="14"/>
      <c r="D39" s="14"/>
      <c r="E39" s="14"/>
      <c r="F39" s="14"/>
      <c r="G39" s="14"/>
      <c r="H39" s="14"/>
      <c r="I39" s="14"/>
    </row>
    <row r="40" spans="2:9" ht="12.75">
      <c r="B40" s="12"/>
      <c r="C40" s="14"/>
      <c r="D40" s="14"/>
      <c r="E40" s="14"/>
      <c r="F40" s="14"/>
      <c r="G40" s="14"/>
      <c r="H40" s="14"/>
      <c r="I40" s="14"/>
    </row>
    <row r="41" spans="2:9" ht="12.75">
      <c r="B41" s="8" t="s">
        <v>44</v>
      </c>
      <c r="C41" s="14"/>
      <c r="D41" s="14"/>
      <c r="E41" s="14"/>
      <c r="F41" s="14"/>
      <c r="G41" s="14"/>
      <c r="H41" s="14"/>
      <c r="I41" s="14"/>
    </row>
    <row r="42" spans="2:9" ht="12.75">
      <c r="B42" s="8" t="s">
        <v>32</v>
      </c>
      <c r="E42" s="19" t="s">
        <v>47</v>
      </c>
      <c r="F42" s="14"/>
      <c r="G42" s="14"/>
      <c r="H42" s="14"/>
      <c r="I42" s="14"/>
    </row>
    <row r="43" spans="2:9" ht="12.75">
      <c r="B43" s="8" t="s">
        <v>45</v>
      </c>
      <c r="D43" s="14"/>
      <c r="E43" s="19" t="s">
        <v>48</v>
      </c>
      <c r="F43" s="14"/>
      <c r="G43" s="14"/>
      <c r="H43" s="14"/>
      <c r="I43" s="14"/>
    </row>
    <row r="44" spans="2:9" ht="12.75">
      <c r="B44" s="8" t="s">
        <v>46</v>
      </c>
      <c r="C44" s="14"/>
      <c r="D44" s="14"/>
      <c r="E44" s="14"/>
      <c r="F44" s="19" t="s">
        <v>49</v>
      </c>
      <c r="G44" s="14"/>
      <c r="H44" s="14"/>
      <c r="I44" s="14"/>
    </row>
    <row r="45" spans="2:9" ht="12.75">
      <c r="B45" s="8" t="s">
        <v>50</v>
      </c>
      <c r="C45" s="14"/>
      <c r="D45" s="14"/>
      <c r="E45" s="14"/>
      <c r="F45" s="19" t="s">
        <v>51</v>
      </c>
      <c r="G45" s="14"/>
      <c r="H45" s="14"/>
      <c r="I45" s="14"/>
    </row>
    <row r="46" spans="2:9" ht="12.75">
      <c r="B46" s="8"/>
      <c r="C46" s="14"/>
      <c r="D46" s="14"/>
      <c r="E46" s="14"/>
      <c r="F46" s="19"/>
      <c r="G46" s="14"/>
      <c r="H46" s="14"/>
      <c r="I46" s="14"/>
    </row>
    <row r="47" spans="2:9" ht="12.75">
      <c r="B47" s="8" t="s">
        <v>56</v>
      </c>
      <c r="C47" s="14"/>
      <c r="D47" s="14"/>
      <c r="E47" s="14"/>
      <c r="F47" s="19"/>
      <c r="G47" s="14"/>
      <c r="H47" s="14"/>
      <c r="I47" s="14"/>
    </row>
    <row r="48" spans="2:9" ht="12.75">
      <c r="B48" s="8" t="s">
        <v>212</v>
      </c>
      <c r="C48" s="14"/>
      <c r="D48" s="14"/>
      <c r="E48" s="14"/>
      <c r="F48" s="19"/>
      <c r="G48" s="14"/>
      <c r="H48" s="14"/>
      <c r="I48" s="14"/>
    </row>
    <row r="49" spans="2:9" ht="12.75">
      <c r="B49" s="8" t="s">
        <v>52</v>
      </c>
      <c r="C49" s="14"/>
      <c r="D49" s="14"/>
      <c r="E49" s="14" t="s">
        <v>53</v>
      </c>
      <c r="F49" s="19"/>
      <c r="G49" s="14"/>
      <c r="H49" s="14"/>
      <c r="I49" s="14"/>
    </row>
    <row r="50" spans="2:9" ht="12.75">
      <c r="B50" s="8" t="s">
        <v>55</v>
      </c>
      <c r="C50" s="14" t="s">
        <v>54</v>
      </c>
      <c r="D50" s="14"/>
      <c r="E50" s="14"/>
      <c r="F50" s="19"/>
      <c r="G50" s="14"/>
      <c r="H50" s="14"/>
      <c r="I50" s="14"/>
    </row>
    <row r="51" ht="13.5" thickBot="1"/>
    <row r="52" spans="2:10" ht="16.5" thickBot="1" thickTop="1">
      <c r="B52" s="21" t="s">
        <v>0</v>
      </c>
      <c r="C52" s="7">
        <v>0.5</v>
      </c>
      <c r="D52" s="7">
        <v>0.6</v>
      </c>
      <c r="E52" s="7">
        <v>0.8</v>
      </c>
      <c r="F52" s="7">
        <v>0.9</v>
      </c>
      <c r="G52" s="61">
        <v>1</v>
      </c>
      <c r="H52" s="7">
        <v>1.03</v>
      </c>
      <c r="I52" s="7">
        <v>1.06</v>
      </c>
      <c r="J52" s="105">
        <f>Лист0!$F$32</f>
        <v>0</v>
      </c>
    </row>
    <row r="53" spans="2:22" ht="16.5" thickBot="1" thickTop="1">
      <c r="B53" s="21" t="s">
        <v>57</v>
      </c>
      <c r="C53" s="7">
        <f>C52*G53</f>
        <v>0</v>
      </c>
      <c r="D53" s="7">
        <f>D52*G53</f>
        <v>0</v>
      </c>
      <c r="E53" s="7">
        <f>E52*G53</f>
        <v>0</v>
      </c>
      <c r="F53" s="9">
        <f>F52*G53</f>
        <v>0</v>
      </c>
      <c r="G53" s="108"/>
      <c r="H53" s="10">
        <f>H52*G53</f>
        <v>0</v>
      </c>
      <c r="I53" s="7">
        <f>I52*G53</f>
        <v>0</v>
      </c>
      <c r="J53" s="106">
        <f>Лист0!$F$33</f>
        <v>0</v>
      </c>
      <c r="P53">
        <f aca="true" t="shared" si="0" ref="P53:V53">C53</f>
        <v>0</v>
      </c>
      <c r="Q53">
        <f t="shared" si="0"/>
        <v>0</v>
      </c>
      <c r="R53">
        <f t="shared" si="0"/>
        <v>0</v>
      </c>
      <c r="S53">
        <f t="shared" si="0"/>
        <v>0</v>
      </c>
      <c r="T53">
        <f t="shared" si="0"/>
        <v>0</v>
      </c>
      <c r="U53">
        <f t="shared" si="0"/>
        <v>0</v>
      </c>
      <c r="V53">
        <f t="shared" si="0"/>
        <v>0</v>
      </c>
    </row>
    <row r="54" spans="2:22" ht="16.5" thickBot="1" thickTop="1">
      <c r="B54" s="21" t="s">
        <v>58</v>
      </c>
      <c r="C54" s="7">
        <f>C52*(0.87+1.13*C52-C52^2)*G54</f>
        <v>0</v>
      </c>
      <c r="D54" s="7">
        <f>D52*(0.87+1.13*D52-D52^2)*G54</f>
        <v>0</v>
      </c>
      <c r="E54" s="7">
        <f>E52*(0.87+1.13*E52-E52^2)*G54</f>
        <v>0</v>
      </c>
      <c r="F54" s="9">
        <f>F52*(0.87+1.13*F52-F52^2)*G54</f>
        <v>0</v>
      </c>
      <c r="G54" s="108"/>
      <c r="H54" s="10">
        <f>0.5*G54</f>
        <v>0</v>
      </c>
      <c r="I54" s="7">
        <v>0</v>
      </c>
      <c r="P54">
        <f>C54</f>
        <v>0</v>
      </c>
      <c r="Q54">
        <f>D54</f>
        <v>0</v>
      </c>
      <c r="R54">
        <f>E54</f>
        <v>0</v>
      </c>
      <c r="S54">
        <f>F54</f>
        <v>0</v>
      </c>
      <c r="T54">
        <f>G54</f>
        <v>0</v>
      </c>
      <c r="U54">
        <f>0.5*T54</f>
        <v>0</v>
      </c>
      <c r="V54">
        <f>I54</f>
        <v>0</v>
      </c>
    </row>
    <row r="55" spans="2:22" ht="16.5" thickBot="1" thickTop="1">
      <c r="B55" s="21" t="s">
        <v>59</v>
      </c>
      <c r="C55" s="7" t="e">
        <f>9550*C54/C53</f>
        <v>#DIV/0!</v>
      </c>
      <c r="D55" s="7" t="e">
        <f>9550*D54/D53</f>
        <v>#DIV/0!</v>
      </c>
      <c r="E55" s="7" t="e">
        <f>9550*E54/E53</f>
        <v>#DIV/0!</v>
      </c>
      <c r="F55" s="7" t="e">
        <f>9550*F54/F53</f>
        <v>#DIV/0!</v>
      </c>
      <c r="G55" s="7" t="e">
        <f>9550*G54/G53</f>
        <v>#DIV/0!</v>
      </c>
      <c r="H55" s="7" t="e">
        <f>G55/2</f>
        <v>#DIV/0!</v>
      </c>
      <c r="I55" s="7" t="e">
        <f>9550*I54/I53</f>
        <v>#DIV/0!</v>
      </c>
      <c r="P55" t="e">
        <f aca="true" t="shared" si="1" ref="P55:T56">0.1*C55</f>
        <v>#DIV/0!</v>
      </c>
      <c r="Q55" t="e">
        <f t="shared" si="1"/>
        <v>#DIV/0!</v>
      </c>
      <c r="R55" t="e">
        <f t="shared" si="1"/>
        <v>#DIV/0!</v>
      </c>
      <c r="S55" t="e">
        <f t="shared" si="1"/>
        <v>#DIV/0!</v>
      </c>
      <c r="T55" t="e">
        <f t="shared" si="1"/>
        <v>#DIV/0!</v>
      </c>
      <c r="U55" t="e">
        <f>0.5*T55</f>
        <v>#DIV/0!</v>
      </c>
      <c r="V55">
        <v>0</v>
      </c>
    </row>
    <row r="56" spans="2:21" ht="16.5" thickBot="1" thickTop="1">
      <c r="B56" s="21" t="s">
        <v>60</v>
      </c>
      <c r="C56" s="7">
        <f>$G56*(1.55-1.55*C52+C52^2)</f>
        <v>0</v>
      </c>
      <c r="D56" s="7">
        <f>$G56*(1.55-1.55*D52+D52^2)</f>
        <v>0</v>
      </c>
      <c r="E56" s="7">
        <f>$G56*(1.55-1.55*E52+E52^2)</f>
        <v>0</v>
      </c>
      <c r="F56" s="9">
        <f>$G56*(1.55-1.55*F52+F52^2)</f>
        <v>0</v>
      </c>
      <c r="G56" s="108"/>
      <c r="H56" s="7" t="e">
        <f>1000*H57/H54</f>
        <v>#DIV/0!</v>
      </c>
      <c r="I56" s="7"/>
      <c r="P56">
        <f t="shared" si="1"/>
        <v>0</v>
      </c>
      <c r="Q56">
        <f t="shared" si="1"/>
        <v>0</v>
      </c>
      <c r="R56">
        <f t="shared" si="1"/>
        <v>0</v>
      </c>
      <c r="S56">
        <f t="shared" si="1"/>
        <v>0</v>
      </c>
      <c r="T56">
        <f t="shared" si="1"/>
        <v>0</v>
      </c>
      <c r="U56" t="e">
        <f>0.1*H56</f>
        <v>#DIV/0!</v>
      </c>
    </row>
    <row r="57" spans="2:22" ht="15.75" thickTop="1">
      <c r="B57" s="21" t="s">
        <v>61</v>
      </c>
      <c r="C57" s="7">
        <f>0.001*C54*C56</f>
        <v>0</v>
      </c>
      <c r="D57" s="7">
        <f>0.001*D54*D56</f>
        <v>0</v>
      </c>
      <c r="E57" s="7">
        <f>0.001*E54*E56</f>
        <v>0</v>
      </c>
      <c r="F57" s="7">
        <f>0.001*F54*F56</f>
        <v>0</v>
      </c>
      <c r="G57" s="62">
        <f>0.001*G54*G56</f>
        <v>0</v>
      </c>
      <c r="H57" s="7">
        <f>(G57-I57)/2+I57</f>
        <v>0</v>
      </c>
      <c r="I57" s="7">
        <f>0.3*G57</f>
        <v>0</v>
      </c>
      <c r="P57">
        <f>C57</f>
        <v>0</v>
      </c>
      <c r="Q57">
        <f>D57</f>
        <v>0</v>
      </c>
      <c r="R57">
        <f>E57</f>
        <v>0</v>
      </c>
      <c r="S57">
        <f>F57</f>
        <v>0</v>
      </c>
      <c r="T57">
        <f>G57</f>
        <v>0</v>
      </c>
      <c r="U57">
        <f>0.5*(T57-V57)+V57</f>
        <v>0</v>
      </c>
      <c r="V57">
        <f>I57</f>
        <v>0</v>
      </c>
    </row>
    <row r="58" ht="12.75">
      <c r="G58" t="s">
        <v>189</v>
      </c>
    </row>
    <row r="61" ht="12.75">
      <c r="H61" s="5" t="s">
        <v>173</v>
      </c>
    </row>
    <row r="63" ht="12.75">
      <c r="H63" s="5" t="s">
        <v>174</v>
      </c>
    </row>
    <row r="64" ht="13.5" thickBot="1"/>
    <row r="65" spans="7:12" ht="13.5" thickBot="1">
      <c r="G65" t="s">
        <v>175</v>
      </c>
      <c r="H65" s="111"/>
      <c r="I65" s="111"/>
      <c r="J65" t="s">
        <v>69</v>
      </c>
      <c r="K65" s="30" t="e">
        <f>H65/I65</f>
        <v>#DIV/0!</v>
      </c>
      <c r="L65" t="s">
        <v>193</v>
      </c>
    </row>
    <row r="67" ht="12.75">
      <c r="H67" t="s">
        <v>176</v>
      </c>
    </row>
    <row r="68" ht="12.75">
      <c r="H68" t="s">
        <v>177</v>
      </c>
    </row>
    <row r="69" ht="12.75">
      <c r="H69" t="s">
        <v>178</v>
      </c>
    </row>
    <row r="78" ht="12.75">
      <c r="B78" s="4" t="s">
        <v>170</v>
      </c>
    </row>
    <row r="80" ht="13.5" thickBot="1">
      <c r="B80" t="s">
        <v>62</v>
      </c>
    </row>
    <row r="81" spans="2:8" ht="13.5" thickBot="1">
      <c r="B81" t="s">
        <v>63</v>
      </c>
      <c r="E81" s="31" t="s">
        <v>194</v>
      </c>
      <c r="F81" t="s">
        <v>83</v>
      </c>
      <c r="G81" s="111"/>
      <c r="H81" s="111"/>
    </row>
    <row r="82" spans="4:10" ht="13.5" thickBot="1">
      <c r="D82" t="s">
        <v>65</v>
      </c>
      <c r="F82" t="s">
        <v>84</v>
      </c>
      <c r="I82" t="s">
        <v>64</v>
      </c>
      <c r="J82" s="23" t="e">
        <f>3.14*G81*H81/(30*H83)</f>
        <v>#DIV/0!</v>
      </c>
    </row>
    <row r="83" spans="5:8" ht="13.5" thickBot="1">
      <c r="E83" s="4" t="s">
        <v>72</v>
      </c>
      <c r="G83" s="4" t="s">
        <v>188</v>
      </c>
      <c r="H83" s="111"/>
    </row>
    <row r="85" spans="2:8" ht="13.5" thickBot="1">
      <c r="B85" t="s">
        <v>86</v>
      </c>
      <c r="E85" s="31" t="s">
        <v>194</v>
      </c>
      <c r="F85" t="s">
        <v>83</v>
      </c>
      <c r="G85">
        <f>G81</f>
        <v>0</v>
      </c>
      <c r="H85">
        <f>H81</f>
        <v>0</v>
      </c>
    </row>
    <row r="86" spans="4:10" ht="13.5" thickBot="1">
      <c r="D86" t="s">
        <v>66</v>
      </c>
      <c r="F86" t="s">
        <v>85</v>
      </c>
      <c r="I86" t="s">
        <v>64</v>
      </c>
      <c r="J86" s="23" t="e">
        <f>3.14*G85*H85/(30*H87)</f>
        <v>#DIV/0!</v>
      </c>
    </row>
    <row r="87" spans="5:8" ht="13.5" thickBot="1">
      <c r="E87" s="4" t="s">
        <v>73</v>
      </c>
      <c r="G87">
        <v>30</v>
      </c>
      <c r="H87" s="111"/>
    </row>
    <row r="89" ht="12.75">
      <c r="B89" t="s">
        <v>195</v>
      </c>
    </row>
    <row r="90" spans="2:8" ht="12.75">
      <c r="B90" t="s">
        <v>201</v>
      </c>
      <c r="F90" s="5" t="s">
        <v>202</v>
      </c>
      <c r="H90" t="s">
        <v>199</v>
      </c>
    </row>
    <row r="91" spans="2:4" ht="12.75">
      <c r="B91" t="s">
        <v>200</v>
      </c>
      <c r="D91" t="s">
        <v>198</v>
      </c>
    </row>
    <row r="92" ht="12.75">
      <c r="C92" s="5" t="s">
        <v>67</v>
      </c>
    </row>
    <row r="93" ht="13.5" thickBot="1"/>
    <row r="94" spans="2:8" ht="13.5" thickBot="1">
      <c r="B94" t="s">
        <v>68</v>
      </c>
      <c r="G94" s="24">
        <f>H83</f>
        <v>0</v>
      </c>
      <c r="H94" s="111"/>
    </row>
    <row r="95" spans="4:10" ht="13.5" thickBot="1">
      <c r="D95" s="5" t="s">
        <v>71</v>
      </c>
      <c r="I95" t="s">
        <v>69</v>
      </c>
      <c r="J95" s="26" t="e">
        <f>(G94/G96)^(1/(H94-1))</f>
        <v>#DIV/0!</v>
      </c>
    </row>
    <row r="96" ht="13.5" thickBot="1">
      <c r="G96" s="24">
        <f>H87</f>
        <v>0</v>
      </c>
    </row>
    <row r="97" ht="12.75">
      <c r="B97" t="s">
        <v>159</v>
      </c>
    </row>
    <row r="98" ht="13.5" thickBot="1"/>
    <row r="99" spans="2:8" ht="13.5" thickBot="1">
      <c r="B99" t="s">
        <v>70</v>
      </c>
      <c r="D99" s="25" t="s">
        <v>74</v>
      </c>
      <c r="G99" s="5" t="s">
        <v>75</v>
      </c>
      <c r="H99" s="26" t="e">
        <f>1/J95</f>
        <v>#DIV/0!</v>
      </c>
    </row>
    <row r="100" ht="12.75">
      <c r="B100" t="s">
        <v>76</v>
      </c>
    </row>
    <row r="101" ht="12.75">
      <c r="B101" t="s">
        <v>79</v>
      </c>
    </row>
    <row r="102" ht="13.5" thickBot="1"/>
    <row r="103" spans="3:10" ht="13.5" thickTop="1">
      <c r="C103" s="5" t="s">
        <v>80</v>
      </c>
      <c r="J103" s="105">
        <f>Лист0!$F$32</f>
        <v>0</v>
      </c>
    </row>
    <row r="104" spans="2:10" ht="13.5" thickBot="1">
      <c r="B104" t="s">
        <v>87</v>
      </c>
      <c r="J104" s="106">
        <f>Лист0!$F$33</f>
        <v>0</v>
      </c>
    </row>
    <row r="105" spans="2:9" ht="13.5" thickBot="1">
      <c r="B105" s="27" t="s">
        <v>77</v>
      </c>
      <c r="C105" s="28">
        <v>1</v>
      </c>
      <c r="D105" s="28">
        <v>2</v>
      </c>
      <c r="E105" s="28">
        <v>3</v>
      </c>
      <c r="F105" s="28">
        <v>4</v>
      </c>
      <c r="G105" s="28">
        <v>5</v>
      </c>
      <c r="H105" s="28">
        <v>6</v>
      </c>
      <c r="I105" s="28">
        <v>7</v>
      </c>
    </row>
    <row r="106" spans="2:9" ht="13.5" thickBot="1">
      <c r="B106" s="27" t="s">
        <v>78</v>
      </c>
      <c r="C106" s="77" t="e">
        <f>D106/J95</f>
        <v>#DIV/0!</v>
      </c>
      <c r="D106" s="77" t="e">
        <f>E106/J95</f>
        <v>#DIV/0!</v>
      </c>
      <c r="E106" s="77" t="e">
        <f>F106/J95</f>
        <v>#DIV/0!</v>
      </c>
      <c r="F106" s="77" t="e">
        <f>G106/J95</f>
        <v>#DIV/0!</v>
      </c>
      <c r="G106" s="77">
        <v>35.36</v>
      </c>
      <c r="H106" s="77" t="e">
        <f>I106/J95</f>
        <v>#DIV/0!</v>
      </c>
      <c r="I106" s="77" t="e">
        <f>J106*J95</f>
        <v>#DIV/0!</v>
      </c>
    </row>
    <row r="108" ht="15">
      <c r="B108" s="29" t="s">
        <v>171</v>
      </c>
    </row>
    <row r="110" ht="12.75">
      <c r="B110" s="4" t="s">
        <v>172</v>
      </c>
    </row>
    <row r="112" spans="2:9" ht="12.75">
      <c r="B112" t="s">
        <v>184</v>
      </c>
      <c r="I112" s="5" t="s">
        <v>185</v>
      </c>
    </row>
    <row r="113" ht="12.75">
      <c r="B113" t="s">
        <v>98</v>
      </c>
    </row>
    <row r="114" ht="13.5" thickBot="1">
      <c r="Q114" t="s">
        <v>203</v>
      </c>
    </row>
    <row r="115" spans="3:19" ht="13.5" thickBot="1">
      <c r="C115" t="s">
        <v>82</v>
      </c>
      <c r="D115" s="111"/>
      <c r="E115" s="111"/>
      <c r="F115" s="111"/>
      <c r="G115" s="112" t="s">
        <v>81</v>
      </c>
      <c r="H115" s="111"/>
      <c r="I115" t="s">
        <v>40</v>
      </c>
      <c r="J115" s="30" t="e">
        <f>E115*F115*D115/H115</f>
        <v>#DIV/0!</v>
      </c>
      <c r="K115" t="s">
        <v>190</v>
      </c>
      <c r="Q115">
        <v>0</v>
      </c>
      <c r="R115" t="e">
        <f>G55</f>
        <v>#DIV/0!</v>
      </c>
      <c r="S115" t="e">
        <f>D55</f>
        <v>#DIV/0!</v>
      </c>
    </row>
    <row r="116" spans="9:19" ht="13.5" thickBot="1">
      <c r="I116" t="s">
        <v>158</v>
      </c>
      <c r="P116">
        <v>1</v>
      </c>
      <c r="Q116">
        <v>0</v>
      </c>
      <c r="R116" s="32" t="e">
        <f>$R$115*C$106*$F$115/($H$115*1000)</f>
        <v>#DIV/0!</v>
      </c>
      <c r="S116" s="30" t="e">
        <f>$S$115*C$106*$F$115/(1000*$H$115)</f>
        <v>#DIV/0!</v>
      </c>
    </row>
    <row r="117" spans="2:19" ht="13.5" thickBot="1">
      <c r="B117" t="s">
        <v>88</v>
      </c>
      <c r="P117">
        <v>2</v>
      </c>
      <c r="Q117">
        <v>0</v>
      </c>
      <c r="R117" s="32" t="e">
        <f>$R$115*D$106*$F$115/($H$115*1000)</f>
        <v>#DIV/0!</v>
      </c>
      <c r="S117" s="30" t="e">
        <f>$S$115*D$106*$F$115/(1000*$H$115)</f>
        <v>#DIV/0!</v>
      </c>
    </row>
    <row r="118" spans="2:19" ht="13.5" thickBot="1">
      <c r="B118" s="32" t="s">
        <v>89</v>
      </c>
      <c r="C118" s="32">
        <v>1</v>
      </c>
      <c r="D118" s="32">
        <v>2</v>
      </c>
      <c r="E118" s="32">
        <v>3</v>
      </c>
      <c r="F118" s="32">
        <v>4</v>
      </c>
      <c r="G118" s="32">
        <v>5</v>
      </c>
      <c r="H118" s="32">
        <v>6</v>
      </c>
      <c r="I118" s="32">
        <v>7</v>
      </c>
      <c r="P118">
        <v>3</v>
      </c>
      <c r="Q118">
        <v>0</v>
      </c>
      <c r="R118" s="32" t="e">
        <f>$R$115*E$106*$F$115/($H$115*1000)</f>
        <v>#DIV/0!</v>
      </c>
      <c r="S118" s="30" t="e">
        <f>$S$115*E$106*$F$115/(1000*$H$115)</f>
        <v>#DIV/0!</v>
      </c>
    </row>
    <row r="119" spans="2:19" ht="13.5" thickBot="1">
      <c r="B119" s="33" t="s">
        <v>191</v>
      </c>
      <c r="C119" s="32" t="e">
        <f>$D115*E115*$F115/($H115*1000)</f>
        <v>#DIV/0!</v>
      </c>
      <c r="D119" s="32" t="e">
        <f>$D115*D106*$F115/($H115*1000)</f>
        <v>#DIV/0!</v>
      </c>
      <c r="E119" s="32" t="e">
        <f>$D115*E106*$F115/($H115*1000)</f>
        <v>#DIV/0!</v>
      </c>
      <c r="F119" s="32" t="e">
        <f>$D115*F106*$F115/($H115*1000)</f>
        <v>#DIV/0!</v>
      </c>
      <c r="G119" s="32" t="e">
        <f>$D115*G106*$F115/($H115*1000)</f>
        <v>#DIV/0!</v>
      </c>
      <c r="H119" s="32" t="e">
        <f>$D115*H106*$F115/$H115</f>
        <v>#DIV/0!</v>
      </c>
      <c r="I119" s="85" t="e">
        <f>$D115*I106*$F115/$H115</f>
        <v>#DIV/0!</v>
      </c>
      <c r="P119">
        <v>4</v>
      </c>
      <c r="Q119">
        <v>0</v>
      </c>
      <c r="R119" s="32" t="e">
        <f>$R$115*F$106*$F$115/($H$115*1000)</f>
        <v>#DIV/0!</v>
      </c>
      <c r="S119" s="30" t="e">
        <f>$S$115*F$106*$F$115/(1000*$H$115)</f>
        <v>#DIV/0!</v>
      </c>
    </row>
    <row r="120" spans="16:19" ht="13.5" thickBot="1">
      <c r="P120">
        <v>5</v>
      </c>
      <c r="Q120">
        <v>0</v>
      </c>
      <c r="R120" s="32" t="e">
        <f>$R$115*G$106*$F$115/($H$115*1000)</f>
        <v>#DIV/0!</v>
      </c>
      <c r="S120" s="30" t="e">
        <f>$S$115*G$106*$F$115/(1000*$H$115)</f>
        <v>#DIV/0!</v>
      </c>
    </row>
    <row r="121" spans="16:19" ht="13.5" thickBot="1">
      <c r="P121">
        <v>6</v>
      </c>
      <c r="Q121">
        <v>0</v>
      </c>
      <c r="R121" s="32" t="e">
        <f>$R$115*H$106*$F$115/($H$115*1000)</f>
        <v>#DIV/0!</v>
      </c>
      <c r="S121" s="30" t="e">
        <f>$S$115*H$106*$F$115/(1000*$H$115)</f>
        <v>#DIV/0!</v>
      </c>
    </row>
    <row r="122" spans="16:19" ht="13.5" thickBot="1">
      <c r="P122">
        <v>7</v>
      </c>
      <c r="Q122">
        <v>0</v>
      </c>
      <c r="R122" s="32" t="e">
        <f>$R$115*I$106*$F$115/($H$115*1000)</f>
        <v>#DIV/0!</v>
      </c>
      <c r="S122" s="30" t="e">
        <f>$S$115*I$106*$F$115/(1000*$H$115)</f>
        <v>#DIV/0!</v>
      </c>
    </row>
    <row r="123" spans="18:19" ht="12.75">
      <c r="R123" s="34"/>
      <c r="S123" s="35"/>
    </row>
    <row r="124" spans="18:19" ht="12.75">
      <c r="R124" s="34"/>
      <c r="S124" s="35"/>
    </row>
    <row r="125" spans="18:19" ht="12.75">
      <c r="R125" s="34"/>
      <c r="S125" s="35"/>
    </row>
    <row r="126" spans="18:19" ht="12.75">
      <c r="R126" s="34"/>
      <c r="S126" s="35"/>
    </row>
    <row r="127" spans="18:19" ht="12.75">
      <c r="R127" s="34"/>
      <c r="S127" s="35"/>
    </row>
    <row r="128" spans="18:19" ht="12.75">
      <c r="R128" s="34"/>
      <c r="S128" s="35"/>
    </row>
    <row r="129" spans="18:19" ht="12.75">
      <c r="R129" s="34"/>
      <c r="S129" s="35"/>
    </row>
    <row r="130" spans="18:19" ht="12.75">
      <c r="R130" s="34"/>
      <c r="S130" s="35"/>
    </row>
    <row r="134" ht="12.75">
      <c r="H134" s="86"/>
    </row>
    <row r="135" ht="12.75">
      <c r="B135" s="4" t="s">
        <v>90</v>
      </c>
    </row>
    <row r="137" spans="2:6" ht="13.5" thickBot="1">
      <c r="B137" t="s">
        <v>91</v>
      </c>
      <c r="F137" t="s">
        <v>92</v>
      </c>
    </row>
    <row r="138" spans="4:9" ht="13.5" thickBot="1">
      <c r="D138" t="s">
        <v>157</v>
      </c>
      <c r="E138" s="111"/>
      <c r="G138" s="111"/>
      <c r="H138" t="s">
        <v>69</v>
      </c>
      <c r="I138" s="30">
        <f>E138-G138</f>
        <v>0</v>
      </c>
    </row>
    <row r="139" spans="5:9" ht="12.75">
      <c r="E139" s="36"/>
      <c r="F139" s="37"/>
      <c r="G139" s="36"/>
      <c r="H139" s="37"/>
      <c r="I139" s="36"/>
    </row>
    <row r="140" spans="2:9" ht="12.75">
      <c r="B140" s="4" t="s">
        <v>93</v>
      </c>
      <c r="E140" s="36"/>
      <c r="G140" s="36"/>
      <c r="I140" s="36"/>
    </row>
    <row r="141" spans="5:9" ht="12.75">
      <c r="E141" s="36"/>
      <c r="G141" s="36"/>
      <c r="I141" s="36"/>
    </row>
    <row r="142" spans="2:9" ht="12.75">
      <c r="B142" t="s">
        <v>224</v>
      </c>
      <c r="E142" s="36"/>
      <c r="G142" s="36"/>
      <c r="I142" s="36"/>
    </row>
    <row r="143" spans="2:9" ht="12.75">
      <c r="B143" t="s">
        <v>225</v>
      </c>
      <c r="E143" s="36"/>
      <c r="G143" s="36"/>
      <c r="I143" s="36"/>
    </row>
    <row r="144" spans="2:9" ht="12.75">
      <c r="B144" t="s">
        <v>226</v>
      </c>
      <c r="E144" s="36"/>
      <c r="G144" s="36"/>
      <c r="I144" s="36"/>
    </row>
    <row r="145" spans="2:9" ht="12.75">
      <c r="B145" t="s">
        <v>214</v>
      </c>
      <c r="E145" s="36"/>
      <c r="G145" s="36"/>
      <c r="I145" s="36"/>
    </row>
    <row r="146" spans="2:9" ht="12.75">
      <c r="B146" t="s">
        <v>215</v>
      </c>
      <c r="E146" s="36"/>
      <c r="G146" s="36"/>
      <c r="I146" s="36"/>
    </row>
    <row r="147" spans="2:9" ht="12.75">
      <c r="B147" t="s">
        <v>95</v>
      </c>
      <c r="E147" s="36"/>
      <c r="G147" s="36"/>
      <c r="I147" s="36"/>
    </row>
    <row r="148" spans="2:9" ht="12.75">
      <c r="B148" t="s">
        <v>192</v>
      </c>
      <c r="E148" s="36"/>
      <c r="G148" s="36"/>
      <c r="I148" s="36"/>
    </row>
    <row r="149" spans="2:9" ht="12.75">
      <c r="B149" t="s">
        <v>94</v>
      </c>
      <c r="C149" t="s">
        <v>223</v>
      </c>
      <c r="E149" s="36"/>
      <c r="G149" s="36"/>
      <c r="I149" s="36"/>
    </row>
    <row r="150" spans="2:9" ht="12.75">
      <c r="B150" t="s">
        <v>216</v>
      </c>
      <c r="E150" s="36"/>
      <c r="G150" s="36"/>
      <c r="I150" s="36"/>
    </row>
    <row r="151" spans="2:9" ht="12.75">
      <c r="B151" t="s">
        <v>217</v>
      </c>
      <c r="E151" s="36"/>
      <c r="G151" s="36"/>
      <c r="I151" s="36"/>
    </row>
    <row r="152" spans="2:9" ht="12.75">
      <c r="B152" t="s">
        <v>218</v>
      </c>
      <c r="E152" s="36"/>
      <c r="G152" s="36"/>
      <c r="I152" s="36"/>
    </row>
    <row r="153" ht="13.5" thickBot="1">
      <c r="J153" s="4" t="s">
        <v>213</v>
      </c>
    </row>
    <row r="154" spans="1:13" ht="13.5" thickBot="1">
      <c r="A154" s="42" t="s">
        <v>9</v>
      </c>
      <c r="B154" s="48"/>
      <c r="C154" s="49" t="s">
        <v>12</v>
      </c>
      <c r="D154" s="49"/>
      <c r="E154" s="50"/>
      <c r="F154" s="48"/>
      <c r="G154" s="49" t="s">
        <v>17</v>
      </c>
      <c r="H154" s="49"/>
      <c r="I154" s="50"/>
      <c r="J154" s="48"/>
      <c r="K154" s="49" t="s">
        <v>96</v>
      </c>
      <c r="L154" s="49"/>
      <c r="M154" s="50"/>
    </row>
    <row r="155" spans="1:13" ht="13.5" thickBot="1">
      <c r="A155" s="43" t="s">
        <v>10</v>
      </c>
      <c r="B155" s="45" t="s">
        <v>14</v>
      </c>
      <c r="C155" s="46" t="s">
        <v>15</v>
      </c>
      <c r="D155" s="46" t="s">
        <v>16</v>
      </c>
      <c r="E155" s="47" t="s">
        <v>13</v>
      </c>
      <c r="F155" s="45" t="s">
        <v>14</v>
      </c>
      <c r="G155" s="46" t="s">
        <v>15</v>
      </c>
      <c r="H155" s="46" t="s">
        <v>16</v>
      </c>
      <c r="I155" s="47" t="s">
        <v>13</v>
      </c>
      <c r="J155" s="45" t="s">
        <v>14</v>
      </c>
      <c r="K155" s="46" t="s">
        <v>15</v>
      </c>
      <c r="L155" s="46" t="s">
        <v>16</v>
      </c>
      <c r="M155" s="46" t="s">
        <v>13</v>
      </c>
    </row>
    <row r="156" spans="1:13" ht="13.5" thickBot="1">
      <c r="A156" s="43"/>
      <c r="B156" s="40"/>
      <c r="C156" s="38"/>
      <c r="D156" s="38"/>
      <c r="E156" s="43"/>
      <c r="F156" s="40"/>
      <c r="G156" s="38"/>
      <c r="H156" s="38"/>
      <c r="I156" s="43"/>
      <c r="J156" s="40"/>
      <c r="K156" s="38"/>
      <c r="L156" s="38"/>
      <c r="M156" s="38"/>
    </row>
    <row r="157" spans="1:13" ht="13.5" thickBot="1">
      <c r="A157" s="43" t="s">
        <v>11</v>
      </c>
      <c r="B157" s="52">
        <f>-25350*B156^6+44647*B156^5-26518*B156^4+6913*B156^3-776*B156^2+56*B156-0.2136</f>
        <v>-0.2136</v>
      </c>
      <c r="C157" s="39">
        <f>11216*C156^6-19963*C156^5+13077*C156^4-3700*C156^3+483*C156^2-5.7*C156+0.08</f>
        <v>0.08</v>
      </c>
      <c r="D157" s="39">
        <f>10351*D156^5-7952*D156^4+2004*D156^3-172*D156^2+33*D156+0.0184</f>
        <v>0.0184</v>
      </c>
      <c r="E157" s="44">
        <f>1669*E156^6-1052*E156^5-670*E156^4+662*E156^3-162*E156^2+22.7*E156+0.26</f>
        <v>0.26</v>
      </c>
      <c r="F157" s="41">
        <f>12289*F156^6-18979*F156^5+11368*F156^4-3173*F156^3+427*F156^2+0.85*F156+0.13</f>
        <v>0.13</v>
      </c>
      <c r="G157" s="39">
        <f>2550*G156^5-3633*G156^4+1852*G156^3-330*G156^2+28.8*G156-0.017</f>
        <v>-0.017</v>
      </c>
      <c r="H157" s="39">
        <f>53993*H156^6-75296*H156^5+39086*H156^4-9266*H156^3+1046*H156^2-29.5*H156+0.43</f>
        <v>0.43</v>
      </c>
      <c r="I157" s="44">
        <f>1410*I156^5-2073*I156^4+1068*I156^3-223.5*I156^2+26.4*I156+0.062</f>
        <v>0.062</v>
      </c>
      <c r="J157" s="41">
        <f>3041*J156^6-5714*J156^5+4037*J156^4-1287*J156^3+174*J156^2-1.9*J156+0.026</f>
        <v>0.026</v>
      </c>
      <c r="K157" s="39">
        <f>3834*K156^6-7814*K156^5+5958*K156^4-2088*K156^3+327*K156^2-15*K156+0.366</f>
        <v>0.366</v>
      </c>
      <c r="L157" s="39">
        <f>7513*L156^6-11439*L156^5+6803*L156^4-1939*L156^3+265*L156^2-5.8*L156+0.006</f>
        <v>0.006</v>
      </c>
      <c r="M157" s="39"/>
    </row>
    <row r="158" ht="13.5" thickBot="1"/>
    <row r="159" spans="2:11" ht="13.5" thickTop="1">
      <c r="B159" s="8" t="s">
        <v>222</v>
      </c>
      <c r="K159" s="105">
        <f>Лист0!$F$32</f>
        <v>0</v>
      </c>
    </row>
    <row r="160" spans="2:11" ht="13.5" thickBot="1">
      <c r="B160" t="s">
        <v>221</v>
      </c>
      <c r="K160" s="106">
        <f>Лист0!$F$33</f>
        <v>0</v>
      </c>
    </row>
    <row r="161" spans="2:25" ht="14.25" thickBot="1" thickTop="1">
      <c r="B161" s="75" t="s">
        <v>99</v>
      </c>
      <c r="C161" s="75">
        <v>0</v>
      </c>
      <c r="D161" s="59" t="e">
        <f>(H55*$C106*$D33/($H81*1000)-I36)</f>
        <v>#DIV/0!</v>
      </c>
      <c r="E161" s="59" t="e">
        <f>(G55*$C106*$D33/($H81*1000)-I36)</f>
        <v>#DIV/0!</v>
      </c>
      <c r="F161" s="59" t="e">
        <f>(F55*$C106*$D33/($H81*1000)-I36)</f>
        <v>#DIV/0!</v>
      </c>
      <c r="G161" s="59" t="e">
        <f>(E55*$C106*$D33/($H81*1000)-I36)</f>
        <v>#DIV/0!</v>
      </c>
      <c r="H161" s="59" t="e">
        <f>(D55*$C106*$D33/($H81*1000)-I36)</f>
        <v>#DIV/0!</v>
      </c>
      <c r="I161" s="59" t="e">
        <f>(C55*$C106*$D33/($H81*1000)-I36)</f>
        <v>#DIV/0!</v>
      </c>
      <c r="R161" s="20" t="s">
        <v>99</v>
      </c>
      <c r="T161" s="20" t="e">
        <f>($H$55*$C$106*$D$33*$E$33/($H$81*1000)-#REF!)</f>
        <v>#DIV/0!</v>
      </c>
      <c r="U161" s="20" t="e">
        <f>($G$55*$C$106*$D$33*$E$33/($H$81*1000)-#REF!)</f>
        <v>#DIV/0!</v>
      </c>
      <c r="V161" s="20" t="e">
        <f>($F$55*$C$106*$D$33*$E$33/($H$81*1000)-#REF!)</f>
        <v>#DIV/0!</v>
      </c>
      <c r="W161" s="20" t="e">
        <f>($E$55*$C$106*$D$33*$E$33/($H$81*1000)-#REF!)</f>
        <v>#DIV/0!</v>
      </c>
      <c r="X161" s="20" t="e">
        <f>($D$55*$C$106*$D$33*$E$33/($H$81*1000)-#REF!)</f>
        <v>#DIV/0!</v>
      </c>
      <c r="Y161" s="20" t="e">
        <f>($C$55*$C$106*$D$33*$E$33/($H$81*1000)-#REF!)</f>
        <v>#DIV/0!</v>
      </c>
    </row>
    <row r="162" spans="2:25" ht="14.25" thickBot="1" thickTop="1">
      <c r="B162" s="76" t="s">
        <v>101</v>
      </c>
      <c r="C162" s="75">
        <v>0</v>
      </c>
      <c r="D162" s="36" t="e">
        <f aca="true" t="shared" si="2" ref="D162:I162">D161/$F$12</f>
        <v>#DIV/0!</v>
      </c>
      <c r="E162" s="36" t="e">
        <f t="shared" si="2"/>
        <v>#DIV/0!</v>
      </c>
      <c r="F162" s="36" t="e">
        <f t="shared" si="2"/>
        <v>#DIV/0!</v>
      </c>
      <c r="G162" s="36" t="e">
        <f t="shared" si="2"/>
        <v>#DIV/0!</v>
      </c>
      <c r="H162" s="36" t="e">
        <f t="shared" si="2"/>
        <v>#DIV/0!</v>
      </c>
      <c r="I162" s="36" t="e">
        <f t="shared" si="2"/>
        <v>#DIV/0!</v>
      </c>
      <c r="R162" s="51" t="s">
        <v>101</v>
      </c>
      <c r="S162" s="20">
        <v>0</v>
      </c>
      <c r="T162" s="20" t="e">
        <f aca="true" t="shared" si="3" ref="T162:Y162">T161/$H$7</f>
        <v>#DIV/0!</v>
      </c>
      <c r="U162" s="20" t="e">
        <f t="shared" si="3"/>
        <v>#DIV/0!</v>
      </c>
      <c r="V162" s="20" t="e">
        <f t="shared" si="3"/>
        <v>#DIV/0!</v>
      </c>
      <c r="W162" s="20" t="e">
        <f t="shared" si="3"/>
        <v>#DIV/0!</v>
      </c>
      <c r="X162" s="20" t="e">
        <f t="shared" si="3"/>
        <v>#DIV/0!</v>
      </c>
      <c r="Y162" s="20" t="e">
        <f t="shared" si="3"/>
        <v>#DIV/0!</v>
      </c>
    </row>
    <row r="163" spans="2:25" ht="14.25" thickBot="1" thickTop="1">
      <c r="B163" s="100" t="s">
        <v>18</v>
      </c>
      <c r="C163" s="75">
        <f>C161^2</f>
        <v>0</v>
      </c>
      <c r="D163" s="113" t="e">
        <f aca="true" t="shared" si="4" ref="D163:I163">2550*D162^5-3633*D162^4+1852*D162^3-330*D162^2+28.8*D162-0.017</f>
        <v>#DIV/0!</v>
      </c>
      <c r="E163" s="113" t="e">
        <f t="shared" si="4"/>
        <v>#DIV/0!</v>
      </c>
      <c r="F163" s="113" t="e">
        <f t="shared" si="4"/>
        <v>#DIV/0!</v>
      </c>
      <c r="G163" s="113" t="e">
        <f t="shared" si="4"/>
        <v>#DIV/0!</v>
      </c>
      <c r="H163" s="113" t="e">
        <f t="shared" si="4"/>
        <v>#DIV/0!</v>
      </c>
      <c r="I163" s="113" t="e">
        <f t="shared" si="4"/>
        <v>#DIV/0!</v>
      </c>
      <c r="Q163">
        <v>1</v>
      </c>
      <c r="R163" s="55" t="s">
        <v>18</v>
      </c>
      <c r="S163" s="20">
        <v>0</v>
      </c>
      <c r="T163" s="70" t="e">
        <f aca="true" t="shared" si="5" ref="T163:Y163">D163</f>
        <v>#DIV/0!</v>
      </c>
      <c r="U163" s="39" t="e">
        <f t="shared" si="5"/>
        <v>#DIV/0!</v>
      </c>
      <c r="V163" s="39" t="e">
        <f t="shared" si="5"/>
        <v>#DIV/0!</v>
      </c>
      <c r="W163" s="39" t="e">
        <f t="shared" si="5"/>
        <v>#DIV/0!</v>
      </c>
      <c r="X163" s="39" t="e">
        <f t="shared" si="5"/>
        <v>#DIV/0!</v>
      </c>
      <c r="Y163" s="39" t="e">
        <f t="shared" si="5"/>
        <v>#DIV/0!</v>
      </c>
    </row>
    <row r="164" spans="2:19" ht="14.25" thickBot="1" thickTop="1">
      <c r="B164" t="s">
        <v>97</v>
      </c>
      <c r="S164" s="56">
        <f>S162^2</f>
        <v>0</v>
      </c>
    </row>
    <row r="165" ht="14.25" thickBot="1" thickTop="1"/>
    <row r="166" spans="18:25" ht="14.25" thickBot="1" thickTop="1">
      <c r="R166" s="20" t="s">
        <v>99</v>
      </c>
      <c r="T166" s="20" t="e">
        <f>($H$55*$D$106*$D$33*$E$33/($H$81*1000)-#REF!)</f>
        <v>#DIV/0!</v>
      </c>
      <c r="U166" s="20" t="e">
        <f>($G$55*$D$106*$D$33*$E$33/($H$81*1000)-#REF!)</f>
        <v>#DIV/0!</v>
      </c>
      <c r="V166" s="20" t="e">
        <f>($F$55*$D$106*$D$33*$E$33/($H$81*1000)-#REF!)</f>
        <v>#DIV/0!</v>
      </c>
      <c r="W166" s="20" t="e">
        <f>($E$55*$D$106*$D$33*$E$33/($H$81*1000)-#REF!)</f>
        <v>#DIV/0!</v>
      </c>
      <c r="X166" s="20" t="e">
        <f>($D$55*$D$106*$D$33*$E$33/($H$81*1000)-#REF!)</f>
        <v>#DIV/0!</v>
      </c>
      <c r="Y166" s="20" t="e">
        <f>($C$55*$D$106*$D$33*$E$33/($H$81*1000)-#REF!)</f>
        <v>#DIV/0!</v>
      </c>
    </row>
    <row r="167" spans="17:25" ht="14.25" thickBot="1" thickTop="1">
      <c r="Q167">
        <v>2</v>
      </c>
      <c r="R167" s="51" t="s">
        <v>101</v>
      </c>
      <c r="S167" s="20">
        <v>0</v>
      </c>
      <c r="T167" s="20" t="e">
        <f aca="true" t="shared" si="6" ref="T167:Y167">T166/$H$7</f>
        <v>#DIV/0!</v>
      </c>
      <c r="U167" s="20" t="e">
        <f t="shared" si="6"/>
        <v>#DIV/0!</v>
      </c>
      <c r="V167" s="20" t="e">
        <f t="shared" si="6"/>
        <v>#DIV/0!</v>
      </c>
      <c r="W167" s="20" t="e">
        <f t="shared" si="6"/>
        <v>#DIV/0!</v>
      </c>
      <c r="X167" s="20" t="e">
        <f t="shared" si="6"/>
        <v>#DIV/0!</v>
      </c>
      <c r="Y167" s="20" t="e">
        <f t="shared" si="6"/>
        <v>#DIV/0!</v>
      </c>
    </row>
    <row r="168" spans="18:25" ht="14.25" thickBot="1" thickTop="1">
      <c r="R168" s="55" t="s">
        <v>18</v>
      </c>
      <c r="S168" s="20">
        <v>0</v>
      </c>
      <c r="T168" s="39" t="e">
        <f>10351*T167^5-7952*T167^4+2004*T167^3-172*T167^2+33*T167+0.0184</f>
        <v>#DIV/0!</v>
      </c>
      <c r="U168" s="39" t="e">
        <f>-25350*U167^6+44647*U167^5-26518*U167^4+6913*U167^3-776*U167^2+56*U167-0.2136</f>
        <v>#DIV/0!</v>
      </c>
      <c r="V168" s="39" t="e">
        <f>-25350*V167^6+44647*V167^5-26518*V167^4+6913*V167^3-776*V167^2+56*V167-0.2136</f>
        <v>#DIV/0!</v>
      </c>
      <c r="W168" s="39" t="e">
        <f>-25350*W167^6+44647*W167^5-26518*W167^4+6913*W167^3-776*W167^2+56*W167-0.2136</f>
        <v>#DIV/0!</v>
      </c>
      <c r="X168" s="39" t="e">
        <f>-25350*X167^6+44647*X167^5-26518*X167^4+6913*X167^3-776*X167^2+56*X167-0.2136</f>
        <v>#DIV/0!</v>
      </c>
      <c r="Y168" s="39" t="e">
        <f>-25350*Y167^6+44647*Y167^5-26518*Y167^4+6913*Y167^3-776*Y167^2+56*Y167-0.2136</f>
        <v>#DIV/0!</v>
      </c>
    </row>
    <row r="169" spans="18:19" ht="14.25" thickBot="1" thickTop="1">
      <c r="R169" t="s">
        <v>112</v>
      </c>
      <c r="S169" s="56">
        <f>S167^2</f>
        <v>0</v>
      </c>
    </row>
    <row r="170" ht="13.5" thickTop="1"/>
    <row r="171" ht="12.75">
      <c r="Q171">
        <v>3</v>
      </c>
    </row>
    <row r="175" ht="12.75">
      <c r="Q175">
        <v>4</v>
      </c>
    </row>
    <row r="176" ht="13.5" thickBot="1"/>
    <row r="177" spans="2:25" ht="14.25" thickBot="1" thickTop="1">
      <c r="B177" s="4" t="s">
        <v>100</v>
      </c>
      <c r="R177" s="20" t="s">
        <v>99</v>
      </c>
      <c r="T177" s="20" t="e">
        <f>(X64*$C114*$D41/($H89*1000)-$I44)</f>
        <v>#DIV/0!</v>
      </c>
      <c r="U177" s="59" t="e">
        <f>(W64*$C114*$D41/($H89*1000)-$I44)</f>
        <v>#DIV/0!</v>
      </c>
      <c r="V177" s="20" t="e">
        <f>(V64*$C114*$D41/($H89*1000)-$I44)</f>
        <v>#DIV/0!</v>
      </c>
      <c r="W177" s="20" t="e">
        <f>(U64*$C114*$D41/($H89*1000)-$I44)</f>
        <v>#DIV/0!</v>
      </c>
      <c r="X177" s="20" t="e">
        <f>(T64*$C114*$D41/($H89*1000)-$I44)</f>
        <v>#DIV/0!</v>
      </c>
      <c r="Y177" s="20" t="e">
        <f>(S64*$C114*$D41/($H89*1000)-$I44)</f>
        <v>#DIV/0!</v>
      </c>
    </row>
    <row r="178" spans="18:25" ht="14.25" thickBot="1" thickTop="1">
      <c r="R178" s="51" t="s">
        <v>101</v>
      </c>
      <c r="S178" s="20">
        <v>0</v>
      </c>
      <c r="T178" s="20" t="e">
        <f aca="true" t="shared" si="7" ref="T178:Y178">T177/$H15</f>
        <v>#DIV/0!</v>
      </c>
      <c r="U178" s="59" t="e">
        <f t="shared" si="7"/>
        <v>#DIV/0!</v>
      </c>
      <c r="V178" s="20" t="e">
        <f t="shared" si="7"/>
        <v>#DIV/0!</v>
      </c>
      <c r="W178" s="20" t="e">
        <f t="shared" si="7"/>
        <v>#DIV/0!</v>
      </c>
      <c r="X178" s="20" t="e">
        <f t="shared" si="7"/>
        <v>#DIV/0!</v>
      </c>
      <c r="Y178" s="20" t="e">
        <f t="shared" si="7"/>
        <v>#DIV/0!</v>
      </c>
    </row>
    <row r="179" spans="2:25" ht="14.25" thickBot="1" thickTop="1">
      <c r="B179" t="s">
        <v>102</v>
      </c>
      <c r="Q179">
        <v>5</v>
      </c>
      <c r="R179" s="55" t="s">
        <v>18</v>
      </c>
      <c r="S179" s="20">
        <v>0</v>
      </c>
      <c r="T179" s="39" t="e">
        <f aca="true" t="shared" si="8" ref="T179:Y179">10351*T178^5-7952*T178^4+2004*T178^3-172*T178^2+33*T178+0.0184</f>
        <v>#DIV/0!</v>
      </c>
      <c r="U179" s="60" t="e">
        <f t="shared" si="8"/>
        <v>#DIV/0!</v>
      </c>
      <c r="V179" s="39" t="e">
        <f t="shared" si="8"/>
        <v>#DIV/0!</v>
      </c>
      <c r="W179" s="39" t="e">
        <f t="shared" si="8"/>
        <v>#DIV/0!</v>
      </c>
      <c r="X179" s="39" t="e">
        <f t="shared" si="8"/>
        <v>#DIV/0!</v>
      </c>
      <c r="Y179" s="39" t="e">
        <f t="shared" si="8"/>
        <v>#DIV/0!</v>
      </c>
    </row>
    <row r="180" spans="2:19" ht="14.25" thickBot="1" thickTop="1">
      <c r="B180" t="s">
        <v>105</v>
      </c>
      <c r="S180" s="56">
        <f>S178^2</f>
        <v>0</v>
      </c>
    </row>
    <row r="181" spans="2:25" ht="14.25" thickBot="1" thickTop="1">
      <c r="B181" t="s">
        <v>106</v>
      </c>
      <c r="R181" s="20" t="s">
        <v>99</v>
      </c>
      <c r="T181" s="20" t="e">
        <f>(X68*$C118*$D45/($H93*1000)-$I48)</f>
        <v>#DIV/0!</v>
      </c>
      <c r="U181" s="59" t="e">
        <f>(W68*$C118*$D45/($H93*1000)-$I48)</f>
        <v>#DIV/0!</v>
      </c>
      <c r="V181" s="20" t="e">
        <f>(V68*$C118*$D45/($H93*1000)-$I48)</f>
        <v>#DIV/0!</v>
      </c>
      <c r="W181" s="20" t="e">
        <f>(U68*$C118*$D45/($H93*1000)-$I48)</f>
        <v>#DIV/0!</v>
      </c>
      <c r="X181" s="20" t="e">
        <f>(T68*$C118*$D45/($H93*1000)-$I48)</f>
        <v>#DIV/0!</v>
      </c>
      <c r="Y181" s="20" t="e">
        <f>(S68*$C118*$D45/($H93*1000)-$I48)</f>
        <v>#DIV/0!</v>
      </c>
    </row>
    <row r="182" spans="2:25" ht="14.25" thickBot="1" thickTop="1">
      <c r="B182" s="5" t="s">
        <v>107</v>
      </c>
      <c r="D182" s="111"/>
      <c r="E182" s="111"/>
      <c r="F182" t="s">
        <v>103</v>
      </c>
      <c r="G182" s="111"/>
      <c r="H182" t="s">
        <v>69</v>
      </c>
      <c r="I182" s="53" t="e">
        <f>D182*3.14*E182/(30*G182)</f>
        <v>#DIV/0!</v>
      </c>
      <c r="R182" s="51" t="s">
        <v>101</v>
      </c>
      <c r="S182" s="20">
        <v>0</v>
      </c>
      <c r="T182" s="20" t="e">
        <f aca="true" t="shared" si="9" ref="T182:Y182">T181/$H19</f>
        <v>#DIV/0!</v>
      </c>
      <c r="U182" s="59" t="e">
        <f t="shared" si="9"/>
        <v>#DIV/0!</v>
      </c>
      <c r="V182" s="20" t="e">
        <f t="shared" si="9"/>
        <v>#DIV/0!</v>
      </c>
      <c r="W182" s="20" t="e">
        <f t="shared" si="9"/>
        <v>#DIV/0!</v>
      </c>
      <c r="X182" s="20" t="e">
        <f t="shared" si="9"/>
        <v>#DIV/0!</v>
      </c>
      <c r="Y182" s="20" t="e">
        <f t="shared" si="9"/>
        <v>#DIV/0!</v>
      </c>
    </row>
    <row r="183" spans="10:25" ht="14.25" thickBot="1" thickTop="1">
      <c r="J183" t="s">
        <v>104</v>
      </c>
      <c r="Q183">
        <v>6</v>
      </c>
      <c r="R183" s="55" t="s">
        <v>18</v>
      </c>
      <c r="S183" s="20">
        <v>0</v>
      </c>
      <c r="T183" s="39" t="e">
        <f aca="true" t="shared" si="10" ref="T183:Y183">10351*T182^5-7952*T182^4+2004*T182^3-172*T182^2+33*T182+0.0184</f>
        <v>#DIV/0!</v>
      </c>
      <c r="U183" s="60" t="e">
        <f t="shared" si="10"/>
        <v>#DIV/0!</v>
      </c>
      <c r="V183" s="39" t="e">
        <f t="shared" si="10"/>
        <v>#DIV/0!</v>
      </c>
      <c r="W183" s="39" t="e">
        <f t="shared" si="10"/>
        <v>#DIV/0!</v>
      </c>
      <c r="X183" s="39" t="e">
        <f t="shared" si="10"/>
        <v>#DIV/0!</v>
      </c>
      <c r="Y183" s="39" t="e">
        <f t="shared" si="10"/>
        <v>#DIV/0!</v>
      </c>
    </row>
    <row r="184" spans="2:19" ht="14.25" thickBot="1" thickTop="1">
      <c r="B184" t="s">
        <v>108</v>
      </c>
      <c r="S184" s="56">
        <f>S182^2</f>
        <v>0</v>
      </c>
    </row>
    <row r="185" spans="2:25" ht="14.25" thickBot="1" thickTop="1">
      <c r="B185" s="54" t="s">
        <v>77</v>
      </c>
      <c r="C185" s="54">
        <v>1</v>
      </c>
      <c r="D185" s="54">
        <v>2</v>
      </c>
      <c r="E185" s="54">
        <v>3</v>
      </c>
      <c r="F185" s="54">
        <v>4</v>
      </c>
      <c r="G185" s="54">
        <v>5</v>
      </c>
      <c r="H185" s="54">
        <v>6</v>
      </c>
      <c r="I185" s="54">
        <v>7</v>
      </c>
      <c r="N185" t="s">
        <v>204</v>
      </c>
      <c r="R185" s="20" t="s">
        <v>99</v>
      </c>
      <c r="T185" s="20" t="e">
        <f>(X73*$C122*$D49/($H97*1000)-$I52)</f>
        <v>#DIV/0!</v>
      </c>
      <c r="U185" s="59" t="e">
        <f>(W73*$C122*$D49/($H97*1000)-$I52)</f>
        <v>#DIV/0!</v>
      </c>
      <c r="V185" s="20" t="e">
        <f>(V73*$C122*$D49/($H97*1000)-$I52)</f>
        <v>#DIV/0!</v>
      </c>
      <c r="W185" s="20" t="e">
        <f>(U73*$C122*$D49/($H97*1000)-$I52)</f>
        <v>#DIV/0!</v>
      </c>
      <c r="X185" s="20" t="e">
        <f>(T73*$C122*$D49/($H97*1000)-$I52)</f>
        <v>#DIV/0!</v>
      </c>
      <c r="Y185" s="20" t="e">
        <f>(S73*$C122*$D49/($H97*1000)-$I52)</f>
        <v>#DIV/0!</v>
      </c>
    </row>
    <row r="186" spans="2:25" ht="14.25" thickBot="1" thickTop="1">
      <c r="B186" s="54" t="s">
        <v>110</v>
      </c>
      <c r="C186" s="54" t="e">
        <f aca="true" t="shared" si="11" ref="C186:I186">C106</f>
        <v>#DIV/0!</v>
      </c>
      <c r="D186" s="54" t="e">
        <f t="shared" si="11"/>
        <v>#DIV/0!</v>
      </c>
      <c r="E186" s="54" t="e">
        <f t="shared" si="11"/>
        <v>#DIV/0!</v>
      </c>
      <c r="F186" s="54" t="e">
        <f t="shared" si="11"/>
        <v>#DIV/0!</v>
      </c>
      <c r="G186" s="54">
        <f t="shared" si="11"/>
        <v>35.36</v>
      </c>
      <c r="H186" s="54" t="e">
        <f t="shared" si="11"/>
        <v>#DIV/0!</v>
      </c>
      <c r="I186" s="54" t="e">
        <f t="shared" si="11"/>
        <v>#DIV/0!</v>
      </c>
      <c r="N186">
        <v>0</v>
      </c>
      <c r="O186">
        <f>G53</f>
        <v>0</v>
      </c>
      <c r="P186">
        <f>I53</f>
        <v>0</v>
      </c>
      <c r="R186" s="51" t="s">
        <v>101</v>
      </c>
      <c r="S186" s="20">
        <v>0</v>
      </c>
      <c r="T186" s="20" t="e">
        <f aca="true" t="shared" si="12" ref="T186:Y186">T185/$H23</f>
        <v>#DIV/0!</v>
      </c>
      <c r="U186" s="59" t="e">
        <f t="shared" si="12"/>
        <v>#DIV/0!</v>
      </c>
      <c r="V186" s="20" t="e">
        <f t="shared" si="12"/>
        <v>#DIV/0!</v>
      </c>
      <c r="W186" s="20" t="e">
        <f t="shared" si="12"/>
        <v>#DIV/0!</v>
      </c>
      <c r="X186" s="20" t="e">
        <f t="shared" si="12"/>
        <v>#DIV/0!</v>
      </c>
      <c r="Y186" s="20" t="e">
        <f t="shared" si="12"/>
        <v>#DIV/0!</v>
      </c>
    </row>
    <row r="187" spans="2:25" ht="14.25" thickBot="1" thickTop="1">
      <c r="B187" s="54" t="s">
        <v>109</v>
      </c>
      <c r="C187" s="53" t="e">
        <f aca="true" t="shared" si="13" ref="C187:I187">$D182*3.14*$H81/(30*C186)</f>
        <v>#DIV/0!</v>
      </c>
      <c r="D187" s="53" t="e">
        <f t="shared" si="13"/>
        <v>#DIV/0!</v>
      </c>
      <c r="E187" s="53" t="e">
        <f t="shared" si="13"/>
        <v>#DIV/0!</v>
      </c>
      <c r="F187" s="53" t="e">
        <f t="shared" si="13"/>
        <v>#DIV/0!</v>
      </c>
      <c r="G187" s="53">
        <f t="shared" si="13"/>
        <v>0</v>
      </c>
      <c r="H187" s="53" t="e">
        <f t="shared" si="13"/>
        <v>#DIV/0!</v>
      </c>
      <c r="I187" s="53" t="e">
        <f t="shared" si="13"/>
        <v>#DIV/0!</v>
      </c>
      <c r="M187">
        <v>1</v>
      </c>
      <c r="N187">
        <v>0</v>
      </c>
      <c r="O187" s="53" t="e">
        <f>$O186*3.14*$H81/(30*C186)</f>
        <v>#DIV/0!</v>
      </c>
      <c r="P187" s="53" t="e">
        <f>$P186*3.14*$H81/(30*C186)</f>
        <v>#DIV/0!</v>
      </c>
      <c r="Q187">
        <v>7</v>
      </c>
      <c r="R187" s="55" t="s">
        <v>18</v>
      </c>
      <c r="S187" s="20">
        <v>0</v>
      </c>
      <c r="T187" s="39" t="e">
        <f aca="true" t="shared" si="14" ref="T187:Y187">10351*T186^5-7952*T186^4+2004*T186^3-172*T186^2+33*T186+0.0184</f>
        <v>#DIV/0!</v>
      </c>
      <c r="U187" s="60" t="e">
        <f t="shared" si="14"/>
        <v>#DIV/0!</v>
      </c>
      <c r="V187" s="39" t="e">
        <f t="shared" si="14"/>
        <v>#DIV/0!</v>
      </c>
      <c r="W187" s="39" t="e">
        <f t="shared" si="14"/>
        <v>#DIV/0!</v>
      </c>
      <c r="X187" s="39" t="e">
        <f t="shared" si="14"/>
        <v>#DIV/0!</v>
      </c>
      <c r="Y187" s="39" t="e">
        <f t="shared" si="14"/>
        <v>#DIV/0!</v>
      </c>
    </row>
    <row r="188" spans="13:19" ht="14.25" thickBot="1" thickTop="1">
      <c r="M188">
        <v>2</v>
      </c>
      <c r="N188">
        <v>0</v>
      </c>
      <c r="O188" s="53" t="e">
        <f>$O186*3.14*$H81/(30*$D186)</f>
        <v>#DIV/0!</v>
      </c>
      <c r="P188" s="53" t="e">
        <f>$P186*3.14*$H81/(30*$D186)</f>
        <v>#DIV/0!</v>
      </c>
      <c r="S188" s="56">
        <f>S186^2</f>
        <v>0</v>
      </c>
    </row>
    <row r="189" spans="13:25" ht="14.25" thickBot="1" thickTop="1">
      <c r="M189">
        <v>3</v>
      </c>
      <c r="N189">
        <v>0</v>
      </c>
      <c r="O189" s="53" t="e">
        <f>$O186*3.14*$H81/(30*E186)</f>
        <v>#DIV/0!</v>
      </c>
      <c r="P189" s="53" t="e">
        <f>$P186*3.14*$H81/(30*E186)</f>
        <v>#DIV/0!</v>
      </c>
      <c r="R189" s="20" t="s">
        <v>99</v>
      </c>
      <c r="T189" s="20" t="e">
        <f>(X77*$C126*$D53/($H101*1000)-$I56)</f>
        <v>#DIV/0!</v>
      </c>
      <c r="U189" s="59" t="e">
        <f>(W77*$C126*$D53/($H101*1000)-$I56)</f>
        <v>#DIV/0!</v>
      </c>
      <c r="V189" s="20" t="e">
        <f>(V77*$C126*$D53/($H101*1000)-$I56)</f>
        <v>#DIV/0!</v>
      </c>
      <c r="W189" s="20" t="e">
        <f>(U77*$C126*$D53/($H101*1000)-$I56)</f>
        <v>#DIV/0!</v>
      </c>
      <c r="X189" s="20" t="e">
        <f>(T77*$C126*$D53/($H101*1000)-$I56)</f>
        <v>#DIV/0!</v>
      </c>
      <c r="Y189" s="20" t="e">
        <f>(S77*$C126*$D53/($H101*1000)-$I56)</f>
        <v>#DIV/0!</v>
      </c>
    </row>
    <row r="190" spans="13:25" ht="14.25" thickBot="1" thickTop="1">
      <c r="M190">
        <v>4</v>
      </c>
      <c r="N190">
        <v>0</v>
      </c>
      <c r="O190" s="53" t="e">
        <f>$O186*3.14*$H81/(30*F186)</f>
        <v>#DIV/0!</v>
      </c>
      <c r="P190" s="53" t="e">
        <f>$P186*3.14*$H81/(30*F186)</f>
        <v>#DIV/0!</v>
      </c>
      <c r="R190" s="51" t="s">
        <v>101</v>
      </c>
      <c r="S190" s="20">
        <v>0</v>
      </c>
      <c r="T190" s="20" t="e">
        <f aca="true" t="shared" si="15" ref="T190:Y190">T189/$H27</f>
        <v>#DIV/0!</v>
      </c>
      <c r="U190" s="59" t="e">
        <f t="shared" si="15"/>
        <v>#DIV/0!</v>
      </c>
      <c r="V190" s="20" t="e">
        <f t="shared" si="15"/>
        <v>#DIV/0!</v>
      </c>
      <c r="W190" s="20" t="e">
        <f t="shared" si="15"/>
        <v>#DIV/0!</v>
      </c>
      <c r="X190" s="20" t="e">
        <f t="shared" si="15"/>
        <v>#DIV/0!</v>
      </c>
      <c r="Y190" s="20" t="e">
        <f t="shared" si="15"/>
        <v>#DIV/0!</v>
      </c>
    </row>
    <row r="191" spans="13:25" ht="14.25" thickBot="1" thickTop="1">
      <c r="M191">
        <v>5</v>
      </c>
      <c r="N191">
        <v>0</v>
      </c>
      <c r="O191" s="53">
        <f>$O186*3.14*$H81/(30*G186)</f>
        <v>0</v>
      </c>
      <c r="P191" s="53">
        <f>$P186*3.14*$H81/(30*G186)</f>
        <v>0</v>
      </c>
      <c r="R191" s="55" t="s">
        <v>18</v>
      </c>
      <c r="S191" s="20">
        <v>0</v>
      </c>
      <c r="T191" s="39" t="e">
        <f aca="true" t="shared" si="16" ref="T191:Y191">10351*T190^5-7952*T190^4+2004*T190^3-172*T190^2+33*T190+0.0184</f>
        <v>#DIV/0!</v>
      </c>
      <c r="U191" s="60" t="e">
        <f t="shared" si="16"/>
        <v>#DIV/0!</v>
      </c>
      <c r="V191" s="39" t="e">
        <f t="shared" si="16"/>
        <v>#DIV/0!</v>
      </c>
      <c r="W191" s="39" t="e">
        <f t="shared" si="16"/>
        <v>#DIV/0!</v>
      </c>
      <c r="X191" s="39" t="e">
        <f t="shared" si="16"/>
        <v>#DIV/0!</v>
      </c>
      <c r="Y191" s="39" t="e">
        <f t="shared" si="16"/>
        <v>#DIV/0!</v>
      </c>
    </row>
    <row r="192" spans="13:19" ht="14.25" thickBot="1" thickTop="1">
      <c r="M192">
        <v>6</v>
      </c>
      <c r="N192">
        <v>0</v>
      </c>
      <c r="O192" s="53" t="e">
        <f>$O186*3.14*$H81/(30*H186)</f>
        <v>#DIV/0!</v>
      </c>
      <c r="P192" s="53" t="e">
        <f>$P186*3.14*$H81/(30*H186)</f>
        <v>#DIV/0!</v>
      </c>
      <c r="S192" s="56">
        <f>S190^2</f>
        <v>0</v>
      </c>
    </row>
    <row r="193" spans="13:25" ht="14.25" thickBot="1" thickTop="1">
      <c r="M193">
        <v>7</v>
      </c>
      <c r="N193">
        <v>0</v>
      </c>
      <c r="O193" s="53" t="e">
        <f>$O186*3.14*$H81/(30*I186)</f>
        <v>#DIV/0!</v>
      </c>
      <c r="P193" s="53" t="e">
        <f>$P186*3.14*$H81/(30*I186)</f>
        <v>#DIV/0!</v>
      </c>
      <c r="R193" s="20" t="s">
        <v>99</v>
      </c>
      <c r="T193" s="20">
        <f>(X81*$C130*$D57/($H105*1000)-$I61)</f>
        <v>0</v>
      </c>
      <c r="U193" s="59">
        <f>(W81*$C130*$D57/($H105*1000)-$I61)</f>
        <v>0</v>
      </c>
      <c r="V193" s="20">
        <f>(V81*$C130*$D57/($H105*1000)-$I61)</f>
        <v>0</v>
      </c>
      <c r="W193" s="20">
        <f>(U81*$C130*$D57/($H105*1000)-$I61)</f>
        <v>0</v>
      </c>
      <c r="X193" s="20">
        <f>(T81*$C130*$D57/($H105*1000)-$I61)</f>
        <v>0</v>
      </c>
      <c r="Y193" s="20">
        <f>(S81*$C130*$D57/($H105*1000)-$I61)</f>
        <v>0</v>
      </c>
    </row>
    <row r="194" spans="18:25" ht="14.25" thickBot="1" thickTop="1">
      <c r="R194" s="51" t="s">
        <v>101</v>
      </c>
      <c r="S194" s="20">
        <v>0</v>
      </c>
      <c r="T194" s="20" t="e">
        <f aca="true" t="shared" si="17" ref="T194:Y194">T193/$H31</f>
        <v>#DIV/0!</v>
      </c>
      <c r="U194" s="59" t="e">
        <f t="shared" si="17"/>
        <v>#DIV/0!</v>
      </c>
      <c r="V194" s="20" t="e">
        <f t="shared" si="17"/>
        <v>#DIV/0!</v>
      </c>
      <c r="W194" s="20" t="e">
        <f t="shared" si="17"/>
        <v>#DIV/0!</v>
      </c>
      <c r="X194" s="20" t="e">
        <f t="shared" si="17"/>
        <v>#DIV/0!</v>
      </c>
      <c r="Y194" s="20" t="e">
        <f t="shared" si="17"/>
        <v>#DIV/0!</v>
      </c>
    </row>
    <row r="195" spans="18:25" ht="14.25" thickBot="1" thickTop="1">
      <c r="R195" s="55" t="s">
        <v>18</v>
      </c>
      <c r="S195" s="20">
        <v>0</v>
      </c>
      <c r="T195" s="39" t="e">
        <f aca="true" t="shared" si="18" ref="T195:Y195">10351*T194^5-7952*T194^4+2004*T194^3-172*T194^2+33*T194+0.0184</f>
        <v>#DIV/0!</v>
      </c>
      <c r="U195" s="60" t="e">
        <f t="shared" si="18"/>
        <v>#DIV/0!</v>
      </c>
      <c r="V195" s="39" t="e">
        <f t="shared" si="18"/>
        <v>#DIV/0!</v>
      </c>
      <c r="W195" s="39" t="e">
        <f t="shared" si="18"/>
        <v>#DIV/0!</v>
      </c>
      <c r="X195" s="39" t="e">
        <f t="shared" si="18"/>
        <v>#DIV/0!</v>
      </c>
      <c r="Y195" s="39" t="e">
        <f t="shared" si="18"/>
        <v>#DIV/0!</v>
      </c>
    </row>
    <row r="196" ht="14.25" thickBot="1" thickTop="1">
      <c r="S196" s="56">
        <f>S194^2</f>
        <v>0</v>
      </c>
    </row>
    <row r="197" ht="13.5" thickTop="1"/>
    <row r="201" ht="12.75">
      <c r="B201" s="4" t="s">
        <v>111</v>
      </c>
    </row>
    <row r="203" ht="12.75">
      <c r="B203" t="s">
        <v>219</v>
      </c>
    </row>
    <row r="204" spans="2:19" ht="13.5" thickBot="1">
      <c r="B204" t="s">
        <v>113</v>
      </c>
      <c r="S204" t="s">
        <v>152</v>
      </c>
    </row>
    <row r="205" spans="18:25" ht="13.5" thickBot="1">
      <c r="R205" t="s">
        <v>153</v>
      </c>
      <c r="S205" s="22">
        <f>C206</f>
        <v>0</v>
      </c>
      <c r="T205" s="22" t="e">
        <f aca="true" t="shared" si="19" ref="T205:Y205">D206</f>
        <v>#DIV/0!</v>
      </c>
      <c r="U205" s="22" t="e">
        <f t="shared" si="19"/>
        <v>#DIV/0!</v>
      </c>
      <c r="V205" s="22" t="e">
        <f t="shared" si="19"/>
        <v>#DIV/0!</v>
      </c>
      <c r="W205" s="22" t="e">
        <f t="shared" si="19"/>
        <v>#DIV/0!</v>
      </c>
      <c r="X205" s="22" t="e">
        <f t="shared" si="19"/>
        <v>#DIV/0!</v>
      </c>
      <c r="Y205" s="22" t="e">
        <f t="shared" si="19"/>
        <v>#DIV/0!</v>
      </c>
    </row>
    <row r="206" spans="2:25" ht="13.5" thickBot="1">
      <c r="B206" s="24" t="s">
        <v>99</v>
      </c>
      <c r="C206" s="24">
        <f aca="true" t="shared" si="20" ref="C206:I206">C161</f>
        <v>0</v>
      </c>
      <c r="D206" s="24" t="e">
        <f t="shared" si="20"/>
        <v>#DIV/0!</v>
      </c>
      <c r="E206" s="58" t="e">
        <f t="shared" si="20"/>
        <v>#DIV/0!</v>
      </c>
      <c r="F206" s="24" t="e">
        <f t="shared" si="20"/>
        <v>#DIV/0!</v>
      </c>
      <c r="G206" s="24" t="e">
        <f t="shared" si="20"/>
        <v>#DIV/0!</v>
      </c>
      <c r="H206" s="24" t="e">
        <f t="shared" si="20"/>
        <v>#DIV/0!</v>
      </c>
      <c r="I206" s="24" t="e">
        <f t="shared" si="20"/>
        <v>#DIV/0!</v>
      </c>
      <c r="R206" t="s">
        <v>112</v>
      </c>
      <c r="S206" s="22" t="e">
        <f>C209</f>
        <v>#DIV/0!</v>
      </c>
      <c r="T206" s="22" t="e">
        <f aca="true" t="shared" si="21" ref="T206:Y206">D209</f>
        <v>#DIV/0!</v>
      </c>
      <c r="U206" s="22" t="e">
        <f t="shared" si="21"/>
        <v>#DIV/0!</v>
      </c>
      <c r="V206" s="22" t="e">
        <f t="shared" si="21"/>
        <v>#DIV/0!</v>
      </c>
      <c r="W206" s="22" t="e">
        <f t="shared" si="21"/>
        <v>#DIV/0!</v>
      </c>
      <c r="X206" s="22" t="e">
        <f t="shared" si="21"/>
        <v>#DIV/0!</v>
      </c>
      <c r="Y206" s="22" t="e">
        <f t="shared" si="21"/>
        <v>#DIV/0!</v>
      </c>
    </row>
    <row r="207" spans="2:25" ht="13.5" thickBot="1">
      <c r="B207" s="114" t="s">
        <v>18</v>
      </c>
      <c r="C207" s="24">
        <f>C163/100</f>
        <v>0</v>
      </c>
      <c r="D207" s="24" t="e">
        <f aca="true" t="shared" si="22" ref="D207:I207">D163/100</f>
        <v>#DIV/0!</v>
      </c>
      <c r="E207" s="58" t="e">
        <f t="shared" si="22"/>
        <v>#DIV/0!</v>
      </c>
      <c r="F207" s="24" t="e">
        <f t="shared" si="22"/>
        <v>#DIV/0!</v>
      </c>
      <c r="G207" s="24" t="e">
        <f t="shared" si="22"/>
        <v>#DIV/0!</v>
      </c>
      <c r="H207" s="24" t="e">
        <f t="shared" si="22"/>
        <v>#DIV/0!</v>
      </c>
      <c r="I207" s="24" t="e">
        <f t="shared" si="22"/>
        <v>#DIV/0!</v>
      </c>
      <c r="R207" t="s">
        <v>154</v>
      </c>
      <c r="S207" t="e">
        <f>S205*S206</f>
        <v>#DIV/0!</v>
      </c>
      <c r="T207" t="e">
        <f aca="true" t="shared" si="23" ref="T207:Y207">T205*T206</f>
        <v>#DIV/0!</v>
      </c>
      <c r="U207" t="e">
        <f t="shared" si="23"/>
        <v>#DIV/0!</v>
      </c>
      <c r="V207" t="e">
        <f t="shared" si="23"/>
        <v>#DIV/0!</v>
      </c>
      <c r="W207" t="e">
        <f t="shared" si="23"/>
        <v>#DIV/0!</v>
      </c>
      <c r="X207" t="e">
        <f t="shared" si="23"/>
        <v>#DIV/0!</v>
      </c>
      <c r="Y207" t="e">
        <f t="shared" si="23"/>
        <v>#DIV/0!</v>
      </c>
    </row>
    <row r="208" spans="2:25" ht="13.5" thickBot="1">
      <c r="B208" s="24" t="s">
        <v>114</v>
      </c>
      <c r="C208" s="24" t="e">
        <f>3.14*$H$81*($I$53-($I$36*($I$53-$G$53))/($H$81*$C$106*$G$55*$D$33))/(30*$C$186)</f>
        <v>#DIV/0!</v>
      </c>
      <c r="D208" s="24" t="e">
        <f>3.14*H53*$H81/(30*$C106)</f>
        <v>#DIV/0!</v>
      </c>
      <c r="E208" s="58" t="e">
        <f>3.14*G53*$H81/(30*$C106)</f>
        <v>#DIV/0!</v>
      </c>
      <c r="F208" s="24" t="e">
        <f>3.14*F53*$H81/(30*$C106)</f>
        <v>#DIV/0!</v>
      </c>
      <c r="G208" s="24" t="e">
        <f>3.14*E53*$H81/(30*$C106)</f>
        <v>#DIV/0!</v>
      </c>
      <c r="H208" s="24" t="e">
        <f>3.14*D53*$H81/(30*$C106)</f>
        <v>#DIV/0!</v>
      </c>
      <c r="I208" s="24" t="e">
        <f>3.14*C53*$H81/(30*$C106)</f>
        <v>#DIV/0!</v>
      </c>
      <c r="R208" t="s">
        <v>206</v>
      </c>
      <c r="S208">
        <f>I57</f>
        <v>0</v>
      </c>
      <c r="T208">
        <f>H57</f>
        <v>0</v>
      </c>
      <c r="U208">
        <f>G57</f>
        <v>0</v>
      </c>
      <c r="V208">
        <f>F57</f>
        <v>0</v>
      </c>
      <c r="W208">
        <f>E57</f>
        <v>0</v>
      </c>
      <c r="X208">
        <f>D57</f>
        <v>0</v>
      </c>
      <c r="Y208">
        <f>C57</f>
        <v>0</v>
      </c>
    </row>
    <row r="209" spans="2:25" ht="13.5" thickBot="1">
      <c r="B209" s="57" t="s">
        <v>115</v>
      </c>
      <c r="C209" s="57" t="e">
        <f>C208*(1-C207)</f>
        <v>#DIV/0!</v>
      </c>
      <c r="D209" s="57" t="e">
        <f aca="true" t="shared" si="24" ref="D209:I209">D208*(1-D207)</f>
        <v>#DIV/0!</v>
      </c>
      <c r="E209" s="58" t="e">
        <f t="shared" si="24"/>
        <v>#DIV/0!</v>
      </c>
      <c r="F209" s="57" t="e">
        <f t="shared" si="24"/>
        <v>#DIV/0!</v>
      </c>
      <c r="G209" s="57" t="e">
        <f t="shared" si="24"/>
        <v>#DIV/0!</v>
      </c>
      <c r="H209" s="57" t="e">
        <f t="shared" si="24"/>
        <v>#DIV/0!</v>
      </c>
      <c r="I209" s="57" t="e">
        <f t="shared" si="24"/>
        <v>#DIV/0!</v>
      </c>
      <c r="R209" t="s">
        <v>205</v>
      </c>
      <c r="S209">
        <v>3.5280600000000004</v>
      </c>
      <c r="T209" t="e">
        <f aca="true" t="shared" si="25" ref="T209:Y209">1000*T208/T207</f>
        <v>#DIV/0!</v>
      </c>
      <c r="U209" t="e">
        <f t="shared" si="25"/>
        <v>#DIV/0!</v>
      </c>
      <c r="V209" t="e">
        <f t="shared" si="25"/>
        <v>#DIV/0!</v>
      </c>
      <c r="W209" t="e">
        <f t="shared" si="25"/>
        <v>#DIV/0!</v>
      </c>
      <c r="X209" t="e">
        <f t="shared" si="25"/>
        <v>#DIV/0!</v>
      </c>
      <c r="Y209" t="e">
        <f t="shared" si="25"/>
        <v>#DIV/0!</v>
      </c>
    </row>
    <row r="210" spans="11:19" ht="13.5" thickTop="1">
      <c r="K210" s="105">
        <f>Лист0!$F$32</f>
        <v>0</v>
      </c>
      <c r="S210" t="e">
        <f>1000*S209/S208</f>
        <v>#DIV/0!</v>
      </c>
    </row>
    <row r="211" ht="12.75">
      <c r="K211" s="106">
        <f>Лист0!$F$33</f>
        <v>0</v>
      </c>
    </row>
    <row r="224" ht="12.75">
      <c r="B224" s="4" t="s">
        <v>116</v>
      </c>
    </row>
    <row r="226" ht="12.75">
      <c r="B226" t="s">
        <v>155</v>
      </c>
    </row>
    <row r="227" ht="12.75">
      <c r="B227" t="s">
        <v>117</v>
      </c>
    </row>
    <row r="228" ht="13.5" thickBot="1">
      <c r="B228" t="s">
        <v>120</v>
      </c>
    </row>
    <row r="229" spans="2:9" ht="13.5" thickBot="1">
      <c r="B229" s="5" t="s">
        <v>119</v>
      </c>
      <c r="C229" s="140" t="e">
        <f>E206</f>
        <v>#DIV/0!</v>
      </c>
      <c r="D229" s="111"/>
      <c r="E229" t="s">
        <v>118</v>
      </c>
      <c r="F229" s="111"/>
      <c r="G229" t="s">
        <v>156</v>
      </c>
      <c r="H229" s="53" t="e">
        <f>C229*D229*(1-F229)</f>
        <v>#DIV/0!</v>
      </c>
      <c r="I229" t="s">
        <v>41</v>
      </c>
    </row>
    <row r="231" ht="12.75">
      <c r="B231" t="s">
        <v>121</v>
      </c>
    </row>
    <row r="246" ht="12.75">
      <c r="B246" s="4" t="s">
        <v>122</v>
      </c>
    </row>
    <row r="248" ht="12.75">
      <c r="B248" t="s">
        <v>123</v>
      </c>
    </row>
    <row r="249" ht="12.75">
      <c r="B249" t="s">
        <v>124</v>
      </c>
    </row>
    <row r="250" ht="13.5" thickBot="1">
      <c r="B250" t="s">
        <v>125</v>
      </c>
    </row>
    <row r="251" spans="3:9" ht="13.5" thickBot="1">
      <c r="C251" t="s">
        <v>127</v>
      </c>
      <c r="D251" s="111"/>
      <c r="E251" t="s">
        <v>81</v>
      </c>
      <c r="F251" s="111"/>
      <c r="G251" t="s">
        <v>40</v>
      </c>
      <c r="H251" s="30" t="e">
        <f>1000*D251/F251</f>
        <v>#DIV/0!</v>
      </c>
      <c r="I251" t="s">
        <v>126</v>
      </c>
    </row>
    <row r="253" ht="12.75">
      <c r="B253" t="s">
        <v>128</v>
      </c>
    </row>
    <row r="268" ht="12.75">
      <c r="B268" s="4" t="s">
        <v>129</v>
      </c>
    </row>
    <row r="269" ht="12.75">
      <c r="B269" s="4"/>
    </row>
    <row r="270" ht="13.5" thickBot="1">
      <c r="B270" s="8" t="s">
        <v>180</v>
      </c>
    </row>
    <row r="271" spans="2:10" ht="13.5" thickBot="1">
      <c r="B271" s="67" t="s">
        <v>143</v>
      </c>
      <c r="C271" s="68" t="s">
        <v>144</v>
      </c>
      <c r="D271" s="68" t="s">
        <v>151</v>
      </c>
      <c r="E271" s="68" t="s">
        <v>145</v>
      </c>
      <c r="F271" s="68" t="s">
        <v>146</v>
      </c>
      <c r="G271" s="68" t="s">
        <v>147</v>
      </c>
      <c r="H271" s="68" t="s">
        <v>148</v>
      </c>
      <c r="I271" s="69" t="s">
        <v>149</v>
      </c>
      <c r="J271" s="67" t="s">
        <v>150</v>
      </c>
    </row>
    <row r="272" spans="2:10" ht="13.5" thickBot="1">
      <c r="B272" s="115"/>
      <c r="C272" s="111"/>
      <c r="D272" s="111"/>
      <c r="E272" s="111"/>
      <c r="F272" s="111"/>
      <c r="G272" s="111"/>
      <c r="H272" s="111"/>
      <c r="I272" s="111"/>
      <c r="J272" s="111"/>
    </row>
    <row r="274" spans="4:6" ht="13.5" thickBot="1">
      <c r="D274" t="s">
        <v>130</v>
      </c>
      <c r="F274" t="e">
        <f>C106</f>
        <v>#DIV/0!</v>
      </c>
    </row>
    <row r="275" spans="2:9" ht="14.25" thickBot="1" thickTop="1">
      <c r="B275" s="126" t="s">
        <v>131</v>
      </c>
      <c r="C275" s="122">
        <f>$B$272*$H$272</f>
        <v>0</v>
      </c>
      <c r="D275" s="122" t="e">
        <f>0.001*($H$55*$C$106*$I$24*$F$18/$J$272)</f>
        <v>#DIV/0!</v>
      </c>
      <c r="E275" s="71" t="e">
        <f>0.001*($G$55*$C$106*$I$24*$F$18/$J$272)</f>
        <v>#DIV/0!</v>
      </c>
      <c r="F275" s="118" t="e">
        <f>0.001*($F$55*$C$106*$I$24*$F$18/$J$272)</f>
        <v>#DIV/0!</v>
      </c>
      <c r="G275" s="118" t="e">
        <f>0.001*($E$55*$C$106*$I$24*$F$18/$J$272)</f>
        <v>#DIV/0!</v>
      </c>
      <c r="H275" s="118" t="e">
        <f>0.001*($D$55*$C$106*$I$24*$F$18/$J$272)</f>
        <v>#DIV/0!</v>
      </c>
      <c r="I275" s="118" t="e">
        <f>0.001*($C$55*$C$106*$I$24*$F$18/$J$272)</f>
        <v>#DIV/0!</v>
      </c>
    </row>
    <row r="276" spans="2:9" ht="13.5" thickBot="1">
      <c r="B276" s="127" t="s">
        <v>132</v>
      </c>
      <c r="C276" s="123">
        <v>0</v>
      </c>
      <c r="D276" s="123" t="e">
        <f aca="true" t="shared" si="26" ref="D276:I276">D275-($B$272*$H$272)</f>
        <v>#DIV/0!</v>
      </c>
      <c r="E276" s="72" t="e">
        <f t="shared" si="26"/>
        <v>#DIV/0!</v>
      </c>
      <c r="F276" s="119" t="e">
        <f t="shared" si="26"/>
        <v>#DIV/0!</v>
      </c>
      <c r="G276" s="119" t="e">
        <f t="shared" si="26"/>
        <v>#DIV/0!</v>
      </c>
      <c r="H276" s="119" t="e">
        <f t="shared" si="26"/>
        <v>#DIV/0!</v>
      </c>
      <c r="I276" s="119" t="e">
        <f t="shared" si="26"/>
        <v>#DIV/0!</v>
      </c>
    </row>
    <row r="277" spans="2:9" ht="13.5" thickBot="1">
      <c r="B277" s="128" t="s">
        <v>18</v>
      </c>
      <c r="C277" s="123">
        <v>0</v>
      </c>
      <c r="D277" s="124" t="e">
        <f aca="true" t="shared" si="27" ref="D277:I277">D163</f>
        <v>#DIV/0!</v>
      </c>
      <c r="E277" s="73" t="e">
        <f t="shared" si="27"/>
        <v>#DIV/0!</v>
      </c>
      <c r="F277" s="120" t="e">
        <f t="shared" si="27"/>
        <v>#DIV/0!</v>
      </c>
      <c r="G277" s="120" t="e">
        <f t="shared" si="27"/>
        <v>#DIV/0!</v>
      </c>
      <c r="H277" s="120" t="e">
        <f t="shared" si="27"/>
        <v>#DIV/0!</v>
      </c>
      <c r="I277" s="120" t="e">
        <f t="shared" si="27"/>
        <v>#DIV/0!</v>
      </c>
    </row>
    <row r="278" spans="2:9" ht="13.5" thickBot="1">
      <c r="B278" s="127" t="s">
        <v>114</v>
      </c>
      <c r="C278" s="57" t="e">
        <f>3.14*$H$81*($I$53-($C$275*($I$53-$G$53))/($H$81*$C$186*$G$55*$D$33))/(30*$C$186)</f>
        <v>#DIV/0!</v>
      </c>
      <c r="D278" s="57" t="e">
        <f>3.14*$H$53*$J$272/(30*$C$106)</f>
        <v>#DIV/0!</v>
      </c>
      <c r="E278" s="58" t="e">
        <f>3.14*$G$53*$J$272/(30*$C$106)</f>
        <v>#DIV/0!</v>
      </c>
      <c r="F278" s="117" t="e">
        <f>3.14*$F$53*$J$272/(30*$C$106)</f>
        <v>#DIV/0!</v>
      </c>
      <c r="G278" s="117" t="e">
        <f>3.14*$E$53*$J$272/(30*$C$106)</f>
        <v>#DIV/0!</v>
      </c>
      <c r="H278" s="117" t="e">
        <f>3.14*$D$53*$J$272/(30*$C$106)</f>
        <v>#DIV/0!</v>
      </c>
      <c r="I278" s="117" t="e">
        <f>3.14*$C$53*$J$272/(30*$C$106)</f>
        <v>#DIV/0!</v>
      </c>
    </row>
    <row r="279" spans="2:9" ht="13.5" thickBot="1">
      <c r="B279" s="127" t="s">
        <v>133</v>
      </c>
      <c r="C279" s="123" t="e">
        <f>C278*(1-0.01*C277)</f>
        <v>#DIV/0!</v>
      </c>
      <c r="D279" s="123" t="e">
        <f aca="true" t="shared" si="28" ref="D279:I279">D278*(1-0.01*D277)</f>
        <v>#DIV/0!</v>
      </c>
      <c r="E279" s="72" t="e">
        <f t="shared" si="28"/>
        <v>#DIV/0!</v>
      </c>
      <c r="F279" s="119" t="e">
        <f t="shared" si="28"/>
        <v>#DIV/0!</v>
      </c>
      <c r="G279" s="119" t="e">
        <f t="shared" si="28"/>
        <v>#DIV/0!</v>
      </c>
      <c r="H279" s="119" t="e">
        <f t="shared" si="28"/>
        <v>#DIV/0!</v>
      </c>
      <c r="I279" s="119" t="e">
        <f t="shared" si="28"/>
        <v>#DIV/0!</v>
      </c>
    </row>
    <row r="280" spans="2:9" ht="13.5" thickBot="1">
      <c r="B280" s="127" t="s">
        <v>134</v>
      </c>
      <c r="C280" s="123">
        <v>0</v>
      </c>
      <c r="D280" s="123" t="e">
        <f aca="true" t="shared" si="29" ref="D280:I280">D276*D279</f>
        <v>#DIV/0!</v>
      </c>
      <c r="E280" s="72" t="e">
        <f t="shared" si="29"/>
        <v>#DIV/0!</v>
      </c>
      <c r="F280" s="119" t="e">
        <f t="shared" si="29"/>
        <v>#DIV/0!</v>
      </c>
      <c r="G280" s="119" t="e">
        <f t="shared" si="29"/>
        <v>#DIV/0!</v>
      </c>
      <c r="H280" s="119" t="e">
        <f t="shared" si="29"/>
        <v>#DIV/0!</v>
      </c>
      <c r="I280" s="119" t="e">
        <f t="shared" si="29"/>
        <v>#DIV/0!</v>
      </c>
    </row>
    <row r="281" spans="2:9" ht="13.5" thickBot="1">
      <c r="B281" s="127" t="s">
        <v>135</v>
      </c>
      <c r="C281" s="123"/>
      <c r="D281" s="123" t="e">
        <f>1000*$H$57/D280</f>
        <v>#DIV/0!</v>
      </c>
      <c r="E281" s="72" t="e">
        <f>1000*$G$57/E280</f>
        <v>#DIV/0!</v>
      </c>
      <c r="F281" s="119" t="e">
        <f>1000*$F$57/F280</f>
        <v>#DIV/0!</v>
      </c>
      <c r="G281" s="119" t="e">
        <f>1000*$E$57/G280</f>
        <v>#DIV/0!</v>
      </c>
      <c r="H281" s="119" t="e">
        <f>1000*$D$57/H280</f>
        <v>#DIV/0!</v>
      </c>
      <c r="I281" s="119" t="e">
        <f>1000*$C$57/I280</f>
        <v>#DIV/0!</v>
      </c>
    </row>
    <row r="282" spans="2:9" ht="13.5" thickBot="1">
      <c r="B282" s="129" t="s">
        <v>136</v>
      </c>
      <c r="C282" s="125">
        <v>0</v>
      </c>
      <c r="D282" s="125" t="e">
        <f>D280/$H$54</f>
        <v>#DIV/0!</v>
      </c>
      <c r="E282" s="74" t="e">
        <f>E280/$G$54</f>
        <v>#DIV/0!</v>
      </c>
      <c r="F282" s="121" t="e">
        <f>F280/$F$54</f>
        <v>#DIV/0!</v>
      </c>
      <c r="G282" s="121" t="e">
        <f>G280/$E$54</f>
        <v>#DIV/0!</v>
      </c>
      <c r="H282" s="121" t="e">
        <f>H280/$D$54</f>
        <v>#DIV/0!</v>
      </c>
      <c r="I282" s="121" t="e">
        <f>I280/$C$54</f>
        <v>#DIV/0!</v>
      </c>
    </row>
    <row r="283" ht="13.5" thickTop="1"/>
    <row r="285" spans="4:6" ht="13.5" thickBot="1">
      <c r="D285" t="s">
        <v>137</v>
      </c>
      <c r="F285" t="e">
        <f>D106</f>
        <v>#DIV/0!</v>
      </c>
    </row>
    <row r="286" spans="2:9" ht="14.25" thickBot="1" thickTop="1">
      <c r="B286" s="126" t="s">
        <v>131</v>
      </c>
      <c r="C286" s="130">
        <f>$B$272*$H$272</f>
        <v>0</v>
      </c>
      <c r="D286" s="130" t="e">
        <f>0.001*($H$55*$D$106*$I$24*$F$18/$J$272)</f>
        <v>#DIV/0!</v>
      </c>
      <c r="E286" s="71" t="e">
        <f>0.001*($G$55*$D$106*$I$24*$F$18/$J$272)</f>
        <v>#DIV/0!</v>
      </c>
      <c r="F286" s="118" t="e">
        <f>0.001*($F$55*$D$106*$I$24*$F$18/$J$272)</f>
        <v>#DIV/0!</v>
      </c>
      <c r="G286" s="118" t="e">
        <f>0.001*($E$55*$D$106*$I$24*$F$18/$J$272)</f>
        <v>#DIV/0!</v>
      </c>
      <c r="H286" s="118" t="e">
        <f>0.001*($D$55*$D$106*$I$24*$F$18/$J$272)</f>
        <v>#DIV/0!</v>
      </c>
      <c r="I286" s="118" t="e">
        <f>0.001*($C$55*$D$106*$I$24*$F$18/$J$272)</f>
        <v>#DIV/0!</v>
      </c>
    </row>
    <row r="287" spans="2:9" ht="13.5" thickBot="1">
      <c r="B287" s="127" t="s">
        <v>132</v>
      </c>
      <c r="C287" s="131">
        <v>0</v>
      </c>
      <c r="D287" s="131" t="e">
        <f aca="true" t="shared" si="30" ref="D287:I287">D286-($B$272*$H$272)</f>
        <v>#DIV/0!</v>
      </c>
      <c r="E287" s="72" t="e">
        <f t="shared" si="30"/>
        <v>#DIV/0!</v>
      </c>
      <c r="F287" s="119" t="e">
        <f t="shared" si="30"/>
        <v>#DIV/0!</v>
      </c>
      <c r="G287" s="119" t="e">
        <f t="shared" si="30"/>
        <v>#DIV/0!</v>
      </c>
      <c r="H287" s="119" t="e">
        <f t="shared" si="30"/>
        <v>#DIV/0!</v>
      </c>
      <c r="I287" s="119" t="e">
        <f t="shared" si="30"/>
        <v>#DIV/0!</v>
      </c>
    </row>
    <row r="288" spans="2:9" ht="13.5" thickBot="1">
      <c r="B288" s="128" t="s">
        <v>18</v>
      </c>
      <c r="C288" s="131">
        <v>0</v>
      </c>
      <c r="D288" s="132" t="e">
        <f>D277*D287/D276</f>
        <v>#DIV/0!</v>
      </c>
      <c r="E288" s="60" t="e">
        <f>E277*E287/E276</f>
        <v>#DIV/0!</v>
      </c>
      <c r="F288" s="134" t="e">
        <f>E288*F287/E287</f>
        <v>#DIV/0!</v>
      </c>
      <c r="G288" s="134" t="e">
        <f>E277*G287/E276</f>
        <v>#DIV/0!</v>
      </c>
      <c r="H288" s="134" t="e">
        <f>E277+(F277-E277)*(H287-E276)/(F276-E276)</f>
        <v>#DIV/0!</v>
      </c>
      <c r="I288" s="134" t="e">
        <f>F277+(G277-F277)*(I287-F276)/(G276-F276)</f>
        <v>#DIV/0!</v>
      </c>
    </row>
    <row r="289" spans="2:9" ht="13.5" thickBot="1">
      <c r="B289" s="127" t="s">
        <v>114</v>
      </c>
      <c r="C289" s="116" t="e">
        <f>3.14*$H$81*($I$53-($C$286*($I$53-$G$53))/($H$81*$D$186*$G$55*$D$33))/(30*$D$186)</f>
        <v>#DIV/0!</v>
      </c>
      <c r="D289" s="116" t="e">
        <f>3.14*$H$53*$J$272/(30*$D$106)</f>
        <v>#DIV/0!</v>
      </c>
      <c r="E289" s="58" t="e">
        <f>3.14*$G$53*$J$272/(30*$D$106)</f>
        <v>#DIV/0!</v>
      </c>
      <c r="F289" s="117" t="e">
        <f>3.14*$F$53*$J$272/(30*$D$106)</f>
        <v>#DIV/0!</v>
      </c>
      <c r="G289" s="117" t="e">
        <f>3.14*$E$53*$J$272/(30*$D$106)</f>
        <v>#DIV/0!</v>
      </c>
      <c r="H289" s="117" t="e">
        <f>3.14*$D$53*$J$272/(30*$D$106)</f>
        <v>#DIV/0!</v>
      </c>
      <c r="I289" s="117" t="e">
        <f>3.14*$C$53*$J$272/(30*$D$106)</f>
        <v>#DIV/0!</v>
      </c>
    </row>
    <row r="290" spans="2:9" ht="13.5" thickBot="1">
      <c r="B290" s="127" t="s">
        <v>133</v>
      </c>
      <c r="C290" s="131" t="e">
        <f aca="true" t="shared" si="31" ref="C290:I290">C289*(1-0.01*C288)</f>
        <v>#DIV/0!</v>
      </c>
      <c r="D290" s="131" t="e">
        <f t="shared" si="31"/>
        <v>#DIV/0!</v>
      </c>
      <c r="E290" s="72" t="e">
        <f t="shared" si="31"/>
        <v>#DIV/0!</v>
      </c>
      <c r="F290" s="119" t="e">
        <f t="shared" si="31"/>
        <v>#DIV/0!</v>
      </c>
      <c r="G290" s="119" t="e">
        <f t="shared" si="31"/>
        <v>#DIV/0!</v>
      </c>
      <c r="H290" s="119" t="e">
        <f t="shared" si="31"/>
        <v>#DIV/0!</v>
      </c>
      <c r="I290" s="119" t="e">
        <f t="shared" si="31"/>
        <v>#DIV/0!</v>
      </c>
    </row>
    <row r="291" spans="2:9" ht="13.5" thickBot="1">
      <c r="B291" s="127" t="s">
        <v>134</v>
      </c>
      <c r="C291" s="131">
        <v>0</v>
      </c>
      <c r="D291" s="131" t="e">
        <f aca="true" t="shared" si="32" ref="D291:I291">D287*D290</f>
        <v>#DIV/0!</v>
      </c>
      <c r="E291" s="72" t="e">
        <f t="shared" si="32"/>
        <v>#DIV/0!</v>
      </c>
      <c r="F291" s="119" t="e">
        <f t="shared" si="32"/>
        <v>#DIV/0!</v>
      </c>
      <c r="G291" s="119" t="e">
        <f t="shared" si="32"/>
        <v>#DIV/0!</v>
      </c>
      <c r="H291" s="119" t="e">
        <f t="shared" si="32"/>
        <v>#DIV/0!</v>
      </c>
      <c r="I291" s="119" t="e">
        <f t="shared" si="32"/>
        <v>#DIV/0!</v>
      </c>
    </row>
    <row r="292" spans="2:9" ht="13.5" thickBot="1">
      <c r="B292" s="127" t="s">
        <v>135</v>
      </c>
      <c r="C292" s="131"/>
      <c r="D292" s="131" t="e">
        <f>1000*$H$57/D291</f>
        <v>#DIV/0!</v>
      </c>
      <c r="E292" s="72" t="e">
        <f>1000*$G$57/E291</f>
        <v>#DIV/0!</v>
      </c>
      <c r="F292" s="119" t="e">
        <f>1000*$F$57/F291</f>
        <v>#DIV/0!</v>
      </c>
      <c r="G292" s="119" t="e">
        <f>1000*$E$57/G291</f>
        <v>#DIV/0!</v>
      </c>
      <c r="H292" s="119" t="e">
        <f>1000*$D$57/H291</f>
        <v>#DIV/0!</v>
      </c>
      <c r="I292" s="119" t="e">
        <f>1000*$C$57/I291</f>
        <v>#DIV/0!</v>
      </c>
    </row>
    <row r="293" spans="2:9" ht="13.5" thickBot="1">
      <c r="B293" s="129" t="s">
        <v>136</v>
      </c>
      <c r="C293" s="133"/>
      <c r="D293" s="133" t="e">
        <f>D291/$H$54</f>
        <v>#DIV/0!</v>
      </c>
      <c r="E293" s="74" t="e">
        <f>E291/$G$54</f>
        <v>#DIV/0!</v>
      </c>
      <c r="F293" s="121" t="e">
        <f>F291/$F$54</f>
        <v>#DIV/0!</v>
      </c>
      <c r="G293" s="121" t="e">
        <f>G291/$E$54</f>
        <v>#DIV/0!</v>
      </c>
      <c r="H293" s="121" t="e">
        <f>H291/$D$54</f>
        <v>#DIV/0!</v>
      </c>
      <c r="I293" s="121" t="e">
        <f>I291/$C$54</f>
        <v>#DIV/0!</v>
      </c>
    </row>
    <row r="294" ht="13.5" thickTop="1"/>
    <row r="295" spans="4:6" ht="13.5" thickBot="1">
      <c r="D295" t="s">
        <v>138</v>
      </c>
      <c r="F295" t="e">
        <f>E106</f>
        <v>#DIV/0!</v>
      </c>
    </row>
    <row r="296" spans="2:9" ht="14.25" thickBot="1" thickTop="1">
      <c r="B296" s="126" t="s">
        <v>131</v>
      </c>
      <c r="C296" s="130">
        <f>$B$272*$H$272</f>
        <v>0</v>
      </c>
      <c r="D296" s="130" t="e">
        <f>0.001*($H$55*$E$106*$I$24*$F$18/$J$272)</f>
        <v>#DIV/0!</v>
      </c>
      <c r="E296" s="71" t="e">
        <f>0.001*($G$55*$E$106*$I$24*$F$18/$J$272)</f>
        <v>#DIV/0!</v>
      </c>
      <c r="F296" s="118" t="e">
        <f>0.001*($F$55*$E$106*$I$24*$F$18/$J$272)</f>
        <v>#DIV/0!</v>
      </c>
      <c r="G296" s="118" t="e">
        <f>0.001*($E$55*$E$106*$I$24*$F$18/$J$272)</f>
        <v>#DIV/0!</v>
      </c>
      <c r="H296" s="118" t="e">
        <f>0.001*($D$55*$E$106*$I$24*$F$18/$J$272)</f>
        <v>#DIV/0!</v>
      </c>
      <c r="I296" s="118" t="e">
        <f>0.001*($C$55*$E$106*$I$24*$F$18/$J$272)</f>
        <v>#DIV/0!</v>
      </c>
    </row>
    <row r="297" spans="2:9" ht="13.5" thickBot="1">
      <c r="B297" s="127" t="s">
        <v>132</v>
      </c>
      <c r="C297" s="131">
        <v>0</v>
      </c>
      <c r="D297" s="131" t="e">
        <f aca="true" t="shared" si="33" ref="D297:I297">D296-($B$272*$H$272)</f>
        <v>#DIV/0!</v>
      </c>
      <c r="E297" s="72" t="e">
        <f t="shared" si="33"/>
        <v>#DIV/0!</v>
      </c>
      <c r="F297" s="119" t="e">
        <f t="shared" si="33"/>
        <v>#DIV/0!</v>
      </c>
      <c r="G297" s="119" t="e">
        <f t="shared" si="33"/>
        <v>#DIV/0!</v>
      </c>
      <c r="H297" s="119" t="e">
        <f t="shared" si="33"/>
        <v>#DIV/0!</v>
      </c>
      <c r="I297" s="119" t="e">
        <f t="shared" si="33"/>
        <v>#DIV/0!</v>
      </c>
    </row>
    <row r="298" spans="2:9" ht="13.5" thickBot="1">
      <c r="B298" s="128" t="s">
        <v>18</v>
      </c>
      <c r="C298" s="131">
        <v>0</v>
      </c>
      <c r="D298" s="132" t="e">
        <f>D288*D297/D287</f>
        <v>#DIV/0!</v>
      </c>
      <c r="E298" s="60" t="e">
        <f>E288*E297/E287</f>
        <v>#DIV/0!</v>
      </c>
      <c r="F298" s="134" t="e">
        <f>E298*F297/E297</f>
        <v>#DIV/0!</v>
      </c>
      <c r="G298" s="134" t="e">
        <f>F298*G297/F297</f>
        <v>#DIV/0!</v>
      </c>
      <c r="H298" s="134" t="e">
        <f>E288+(F288-E288)*(H297-E287)/(F287-E287)</f>
        <v>#DIV/0!</v>
      </c>
      <c r="I298" s="134" t="e">
        <f>F288+(G288-F288)*(I297-F287)/(G287-F287)</f>
        <v>#DIV/0!</v>
      </c>
    </row>
    <row r="299" spans="2:9" ht="13.5" thickBot="1">
      <c r="B299" s="127" t="s">
        <v>114</v>
      </c>
      <c r="C299" s="116" t="e">
        <f>3.14*$H$81*($I$53-($C$296*($I$53-$G$53))/($H$81*$E$186*$G$55*$D$33))/(30*$E$186)</f>
        <v>#DIV/0!</v>
      </c>
      <c r="D299" s="116" t="e">
        <f>3.14*$H$53*$J$272/(30*$E$106)</f>
        <v>#DIV/0!</v>
      </c>
      <c r="E299" s="58" t="e">
        <f>3.14*$G$53*$J$272/(30*$E$106)</f>
        <v>#DIV/0!</v>
      </c>
      <c r="F299" s="117" t="e">
        <f>3.14*$F$53*$J$272/(30*$E$106)</f>
        <v>#DIV/0!</v>
      </c>
      <c r="G299" s="117" t="e">
        <f>3.14*$E$53*$J$272/(30*$E$106)</f>
        <v>#DIV/0!</v>
      </c>
      <c r="H299" s="117" t="e">
        <f>3.14*$D$53*$J$272/(30*$E$106)</f>
        <v>#DIV/0!</v>
      </c>
      <c r="I299" s="117" t="e">
        <f>3.14*$C$53*$J$272/(30*$E$106)</f>
        <v>#DIV/0!</v>
      </c>
    </row>
    <row r="300" spans="2:9" ht="13.5" thickBot="1">
      <c r="B300" s="127" t="s">
        <v>133</v>
      </c>
      <c r="C300" s="131" t="e">
        <f aca="true" t="shared" si="34" ref="C300:I300">C299*(1-0.01*C298)</f>
        <v>#DIV/0!</v>
      </c>
      <c r="D300" s="131" t="e">
        <f t="shared" si="34"/>
        <v>#DIV/0!</v>
      </c>
      <c r="E300" s="72" t="e">
        <f t="shared" si="34"/>
        <v>#DIV/0!</v>
      </c>
      <c r="F300" s="119" t="e">
        <f t="shared" si="34"/>
        <v>#DIV/0!</v>
      </c>
      <c r="G300" s="119" t="e">
        <f t="shared" si="34"/>
        <v>#DIV/0!</v>
      </c>
      <c r="H300" s="119" t="e">
        <f t="shared" si="34"/>
        <v>#DIV/0!</v>
      </c>
      <c r="I300" s="119" t="e">
        <f t="shared" si="34"/>
        <v>#DIV/0!</v>
      </c>
    </row>
    <row r="301" spans="2:9" ht="13.5" thickBot="1">
      <c r="B301" s="127" t="s">
        <v>134</v>
      </c>
      <c r="C301" s="131">
        <v>0</v>
      </c>
      <c r="D301" s="131" t="e">
        <f aca="true" t="shared" si="35" ref="D301:I301">D297*D300</f>
        <v>#DIV/0!</v>
      </c>
      <c r="E301" s="72" t="e">
        <f t="shared" si="35"/>
        <v>#DIV/0!</v>
      </c>
      <c r="F301" s="119" t="e">
        <f t="shared" si="35"/>
        <v>#DIV/0!</v>
      </c>
      <c r="G301" s="119" t="e">
        <f t="shared" si="35"/>
        <v>#DIV/0!</v>
      </c>
      <c r="H301" s="119" t="e">
        <f t="shared" si="35"/>
        <v>#DIV/0!</v>
      </c>
      <c r="I301" s="119" t="e">
        <f t="shared" si="35"/>
        <v>#DIV/0!</v>
      </c>
    </row>
    <row r="302" spans="2:9" ht="13.5" thickBot="1">
      <c r="B302" s="127" t="s">
        <v>135</v>
      </c>
      <c r="C302" s="131"/>
      <c r="D302" s="131" t="e">
        <f>1000*$H$57/D301</f>
        <v>#DIV/0!</v>
      </c>
      <c r="E302" s="72" t="e">
        <f>1000*$G$57/E301</f>
        <v>#DIV/0!</v>
      </c>
      <c r="F302" s="119" t="e">
        <f>1000*$F$57/F301</f>
        <v>#DIV/0!</v>
      </c>
      <c r="G302" s="119" t="e">
        <f>1000*$E$57/G301</f>
        <v>#DIV/0!</v>
      </c>
      <c r="H302" s="119" t="e">
        <f>1000*$D$57/H301</f>
        <v>#DIV/0!</v>
      </c>
      <c r="I302" s="119" t="e">
        <f>1000*$C$57/I301</f>
        <v>#DIV/0!</v>
      </c>
    </row>
    <row r="303" spans="2:9" ht="13.5" thickBot="1">
      <c r="B303" s="129" t="s">
        <v>136</v>
      </c>
      <c r="C303" s="133"/>
      <c r="D303" s="133" t="e">
        <f>D301/$H$54</f>
        <v>#DIV/0!</v>
      </c>
      <c r="E303" s="74" t="e">
        <f>E301/$G$54</f>
        <v>#DIV/0!</v>
      </c>
      <c r="F303" s="121" t="e">
        <f>F301/$F$54</f>
        <v>#DIV/0!</v>
      </c>
      <c r="G303" s="121" t="e">
        <f>G301/$E$54</f>
        <v>#DIV/0!</v>
      </c>
      <c r="H303" s="121" t="e">
        <f>H301/$D$54</f>
        <v>#DIV/0!</v>
      </c>
      <c r="I303" s="121" t="e">
        <f>I301/$C$54</f>
        <v>#DIV/0!</v>
      </c>
    </row>
    <row r="304" ht="13.5" thickTop="1"/>
    <row r="305" spans="4:6" ht="13.5" thickBot="1">
      <c r="D305" t="s">
        <v>139</v>
      </c>
      <c r="F305" t="e">
        <f>F106</f>
        <v>#DIV/0!</v>
      </c>
    </row>
    <row r="306" spans="2:9" ht="14.25" thickBot="1" thickTop="1">
      <c r="B306" s="126" t="s">
        <v>131</v>
      </c>
      <c r="C306" s="130">
        <f>$B$272*$H$272</f>
        <v>0</v>
      </c>
      <c r="D306" s="130" t="e">
        <f>0.001*($H$55*$F$106*$I$24*$F$18/$J$272)</f>
        <v>#DIV/0!</v>
      </c>
      <c r="E306" s="71" t="e">
        <f>0.001*($G$55*$F$106*$I$24*$F$18/$J$272)</f>
        <v>#DIV/0!</v>
      </c>
      <c r="F306" s="118" t="e">
        <f>0.001*($F$55*$F$106*$I$24*$F$18/$J$272)</f>
        <v>#DIV/0!</v>
      </c>
      <c r="G306" s="118" t="e">
        <f>0.001*($E$55*$F$106*$I$24*$F$18/$J$272)</f>
        <v>#DIV/0!</v>
      </c>
      <c r="H306" s="118" t="e">
        <f>0.001*($D$55*$F$106*$I$24*$F$18/$J$272)</f>
        <v>#DIV/0!</v>
      </c>
      <c r="I306" s="118" t="e">
        <f>0.001*($C$55*$F$106*$I$24*$F$18/$J$272)</f>
        <v>#DIV/0!</v>
      </c>
    </row>
    <row r="307" spans="2:9" ht="13.5" thickBot="1">
      <c r="B307" s="127" t="s">
        <v>132</v>
      </c>
      <c r="C307" s="131">
        <v>0</v>
      </c>
      <c r="D307" s="131" t="e">
        <f aca="true" t="shared" si="36" ref="D307:I307">D306-($B$272*$H$272)</f>
        <v>#DIV/0!</v>
      </c>
      <c r="E307" s="72" t="e">
        <f t="shared" si="36"/>
        <v>#DIV/0!</v>
      </c>
      <c r="F307" s="119" t="e">
        <f t="shared" si="36"/>
        <v>#DIV/0!</v>
      </c>
      <c r="G307" s="119" t="e">
        <f t="shared" si="36"/>
        <v>#DIV/0!</v>
      </c>
      <c r="H307" s="119" t="e">
        <f t="shared" si="36"/>
        <v>#DIV/0!</v>
      </c>
      <c r="I307" s="119" t="e">
        <f t="shared" si="36"/>
        <v>#DIV/0!</v>
      </c>
    </row>
    <row r="308" spans="2:9" ht="13.5" thickBot="1">
      <c r="B308" s="128" t="s">
        <v>18</v>
      </c>
      <c r="C308" s="131">
        <v>0</v>
      </c>
      <c r="D308" s="132" t="e">
        <f>D298*D307/D297</f>
        <v>#DIV/0!</v>
      </c>
      <c r="E308" s="60" t="e">
        <f>E298*E307/E297</f>
        <v>#DIV/0!</v>
      </c>
      <c r="F308" s="134" t="e">
        <f>E308*F307/E307</f>
        <v>#DIV/0!</v>
      </c>
      <c r="G308" s="134" t="e">
        <f>F308*G307/F307</f>
        <v>#DIV/0!</v>
      </c>
      <c r="H308" s="134" t="e">
        <f>E298+(F298-E298)*(H307-E297)/(F297-E297)</f>
        <v>#DIV/0!</v>
      </c>
      <c r="I308" s="134" t="e">
        <f>F298+(G298-F298)*(I307-F297)/(G297-F297)</f>
        <v>#DIV/0!</v>
      </c>
    </row>
    <row r="309" spans="2:9" ht="13.5" thickBot="1">
      <c r="B309" s="127" t="s">
        <v>114</v>
      </c>
      <c r="C309" s="116" t="e">
        <f>3.14*$H$81*($I$53-($C$306*($I$53-$G$53))/($H$81*$F$186*$G$55*$D$33))/(30*$F$186)</f>
        <v>#DIV/0!</v>
      </c>
      <c r="D309" s="116" t="e">
        <f>3.14*$H$53*$J$272/(30*$F$106)</f>
        <v>#DIV/0!</v>
      </c>
      <c r="E309" s="58" t="e">
        <f>3.14*$G$53*$J$272/(30*$F$106)</f>
        <v>#DIV/0!</v>
      </c>
      <c r="F309" s="117" t="e">
        <f>3.14*$F$53*$J$272/(30*$F$106)</f>
        <v>#DIV/0!</v>
      </c>
      <c r="G309" s="117" t="e">
        <f>3.14*$E$53*$J$272/(30*$F$106)</f>
        <v>#DIV/0!</v>
      </c>
      <c r="H309" s="117" t="e">
        <f>3.14*$D$53*$J$272/(30*$F$106)</f>
        <v>#DIV/0!</v>
      </c>
      <c r="I309" s="117" t="e">
        <f>3.14*$C$53*$J$272/(30*$F$106)</f>
        <v>#DIV/0!</v>
      </c>
    </row>
    <row r="310" spans="2:9" ht="13.5" thickBot="1">
      <c r="B310" s="127" t="s">
        <v>133</v>
      </c>
      <c r="C310" s="131" t="e">
        <f aca="true" t="shared" si="37" ref="C310:I310">C309*(1-0.01*C308)</f>
        <v>#DIV/0!</v>
      </c>
      <c r="D310" s="131" t="e">
        <f t="shared" si="37"/>
        <v>#DIV/0!</v>
      </c>
      <c r="E310" s="72" t="e">
        <f t="shared" si="37"/>
        <v>#DIV/0!</v>
      </c>
      <c r="F310" s="119" t="e">
        <f t="shared" si="37"/>
        <v>#DIV/0!</v>
      </c>
      <c r="G310" s="119" t="e">
        <f t="shared" si="37"/>
        <v>#DIV/0!</v>
      </c>
      <c r="H310" s="119" t="e">
        <f t="shared" si="37"/>
        <v>#DIV/0!</v>
      </c>
      <c r="I310" s="119" t="e">
        <f t="shared" si="37"/>
        <v>#DIV/0!</v>
      </c>
    </row>
    <row r="311" spans="2:9" ht="13.5" thickBot="1">
      <c r="B311" s="127" t="s">
        <v>134</v>
      </c>
      <c r="C311" s="131">
        <v>0</v>
      </c>
      <c r="D311" s="131" t="e">
        <f aca="true" t="shared" si="38" ref="D311:I311">D307*D310</f>
        <v>#DIV/0!</v>
      </c>
      <c r="E311" s="72" t="e">
        <f t="shared" si="38"/>
        <v>#DIV/0!</v>
      </c>
      <c r="F311" s="119" t="e">
        <f t="shared" si="38"/>
        <v>#DIV/0!</v>
      </c>
      <c r="G311" s="119" t="e">
        <f t="shared" si="38"/>
        <v>#DIV/0!</v>
      </c>
      <c r="H311" s="119" t="e">
        <f t="shared" si="38"/>
        <v>#DIV/0!</v>
      </c>
      <c r="I311" s="119" t="e">
        <f t="shared" si="38"/>
        <v>#DIV/0!</v>
      </c>
    </row>
    <row r="312" spans="2:9" ht="13.5" thickBot="1">
      <c r="B312" s="127" t="s">
        <v>135</v>
      </c>
      <c r="C312" s="131"/>
      <c r="D312" s="131" t="e">
        <f>1000*$H$57/D311</f>
        <v>#DIV/0!</v>
      </c>
      <c r="E312" s="72" t="e">
        <f>1000*$G$57/E311</f>
        <v>#DIV/0!</v>
      </c>
      <c r="F312" s="119" t="e">
        <f>1000*$F$57/F311</f>
        <v>#DIV/0!</v>
      </c>
      <c r="G312" s="119" t="e">
        <f>1000*$E$57/G311</f>
        <v>#DIV/0!</v>
      </c>
      <c r="H312" s="119" t="e">
        <f>1000*$D$57/H311</f>
        <v>#DIV/0!</v>
      </c>
      <c r="I312" s="119" t="e">
        <f>1000*$C$57/I311</f>
        <v>#DIV/0!</v>
      </c>
    </row>
    <row r="313" spans="2:9" ht="13.5" thickBot="1">
      <c r="B313" s="135" t="s">
        <v>136</v>
      </c>
      <c r="C313" s="133"/>
      <c r="D313" s="133" t="e">
        <f>D311/$H$54</f>
        <v>#DIV/0!</v>
      </c>
      <c r="E313" s="74" t="e">
        <f>E311/$G$54</f>
        <v>#DIV/0!</v>
      </c>
      <c r="F313" s="121" t="e">
        <f>F311/$F$54</f>
        <v>#DIV/0!</v>
      </c>
      <c r="G313" s="121" t="e">
        <f>G311/$E$54</f>
        <v>#DIV/0!</v>
      </c>
      <c r="H313" s="121" t="e">
        <f>H311/$D$54</f>
        <v>#DIV/0!</v>
      </c>
      <c r="I313" s="136" t="e">
        <f>I311/$C$54</f>
        <v>#DIV/0!</v>
      </c>
    </row>
    <row r="314" spans="2:10" ht="14.25" thickBot="1" thickTop="1">
      <c r="B314" s="95"/>
      <c r="C314" s="36"/>
      <c r="D314" s="36"/>
      <c r="E314" s="36"/>
      <c r="F314" s="36"/>
      <c r="G314" s="36"/>
      <c r="H314" s="36"/>
      <c r="I314" s="36"/>
      <c r="J314" s="99"/>
    </row>
    <row r="315" spans="2:10" ht="14.25" thickBot="1" thickTop="1">
      <c r="B315" s="96" t="s">
        <v>179</v>
      </c>
      <c r="C315" s="97"/>
      <c r="D315" s="97"/>
      <c r="E315" s="97"/>
      <c r="F315" s="97"/>
      <c r="G315" s="97"/>
      <c r="H315" s="97"/>
      <c r="I315" s="97"/>
      <c r="J315" s="98"/>
    </row>
    <row r="316" spans="4:6" ht="14.25" thickBot="1" thickTop="1">
      <c r="D316" t="s">
        <v>140</v>
      </c>
      <c r="F316">
        <f>G106</f>
        <v>35.36</v>
      </c>
    </row>
    <row r="317" spans="2:9" ht="14.25" thickBot="1" thickTop="1">
      <c r="B317" s="126" t="s">
        <v>131</v>
      </c>
      <c r="C317" s="130">
        <f>$B$272*$H$272</f>
        <v>0</v>
      </c>
      <c r="D317" s="130" t="e">
        <f>0.001*($H$55*$G$106*$I$24*$F$18/$J$272)</f>
        <v>#DIV/0!</v>
      </c>
      <c r="E317" s="71" t="e">
        <f>0.001*($G$55*$G$106*$I$24*$F$18/$J$272)</f>
        <v>#DIV/0!</v>
      </c>
      <c r="F317" s="118" t="e">
        <f>0.001*($F$55*$G$106*$I$24*$F$18/$J$272)</f>
        <v>#DIV/0!</v>
      </c>
      <c r="G317" s="118" t="e">
        <f>0.001*($E$55*$G$106*$I$24*$F$18/$J$272)</f>
        <v>#DIV/0!</v>
      </c>
      <c r="H317" s="118" t="e">
        <f>0.001*($D$55*$G$106*$I$24*$F$18/$J$272)</f>
        <v>#DIV/0!</v>
      </c>
      <c r="I317" s="118" t="e">
        <f>0.001*($C$55*$G$106*$I$24*$F$18/$J$272)</f>
        <v>#DIV/0!</v>
      </c>
    </row>
    <row r="318" spans="2:9" ht="13.5" thickBot="1">
      <c r="B318" s="127" t="s">
        <v>132</v>
      </c>
      <c r="C318" s="131">
        <v>0</v>
      </c>
      <c r="D318" s="131" t="e">
        <f aca="true" t="shared" si="39" ref="D318:I318">D317-($B$272*$H$272)</f>
        <v>#DIV/0!</v>
      </c>
      <c r="E318" s="72" t="e">
        <f t="shared" si="39"/>
        <v>#DIV/0!</v>
      </c>
      <c r="F318" s="119" t="e">
        <f t="shared" si="39"/>
        <v>#DIV/0!</v>
      </c>
      <c r="G318" s="119" t="e">
        <f t="shared" si="39"/>
        <v>#DIV/0!</v>
      </c>
      <c r="H318" s="119" t="e">
        <f t="shared" si="39"/>
        <v>#DIV/0!</v>
      </c>
      <c r="I318" s="119" t="e">
        <f t="shared" si="39"/>
        <v>#DIV/0!</v>
      </c>
    </row>
    <row r="319" spans="2:9" ht="13.5" thickBot="1">
      <c r="B319" s="128" t="s">
        <v>18</v>
      </c>
      <c r="C319" s="131">
        <v>0</v>
      </c>
      <c r="D319" s="132" t="e">
        <f>D308*D318/D307</f>
        <v>#DIV/0!</v>
      </c>
      <c r="E319" s="60" t="e">
        <f>E308*E318/E307</f>
        <v>#DIV/0!</v>
      </c>
      <c r="F319" s="134" t="e">
        <f>E319*F318/E318</f>
        <v>#DIV/0!</v>
      </c>
      <c r="G319" s="134" t="e">
        <f>F319*G318/F318</f>
        <v>#DIV/0!</v>
      </c>
      <c r="H319" s="134" t="e">
        <f>E308+(F308-E308)*(H318-E307)/(F308-E308)</f>
        <v>#DIV/0!</v>
      </c>
      <c r="I319" s="134" t="e">
        <f>F308+(G308-F308)*(I318-F307)/(G307-F307)</f>
        <v>#DIV/0!</v>
      </c>
    </row>
    <row r="320" spans="2:9" ht="13.5" thickBot="1">
      <c r="B320" s="127" t="s">
        <v>114</v>
      </c>
      <c r="C320" s="116" t="e">
        <f>3.14*$H$81*($I$53-($C$317*($I$53-$G$53))/($H$81*$G$186*$G$55*$D$33))/(30*$G$186)</f>
        <v>#DIV/0!</v>
      </c>
      <c r="D320" s="116">
        <f>3.14*$H$53*$J$272/(30*$G$106)</f>
        <v>0</v>
      </c>
      <c r="E320" s="58">
        <f>3.14*$G$53*$J$272/(30*$G$106)</f>
        <v>0</v>
      </c>
      <c r="F320" s="117">
        <f>3.14*$F$53*$J$272/(30*$G$106)</f>
        <v>0</v>
      </c>
      <c r="G320" s="117">
        <f>3.14*$E$53*$J$272/(30*$G$106)</f>
        <v>0</v>
      </c>
      <c r="H320" s="117">
        <f>3.14*$D$53*$J$272/(30*$G$106)</f>
        <v>0</v>
      </c>
      <c r="I320" s="117">
        <f>3.14*$C$53*$J$272/(30*$G$106)</f>
        <v>0</v>
      </c>
    </row>
    <row r="321" spans="2:9" ht="13.5" thickBot="1">
      <c r="B321" s="127" t="s">
        <v>133</v>
      </c>
      <c r="C321" s="131" t="e">
        <f aca="true" t="shared" si="40" ref="C321:I321">C320*(1-0.01*C319)</f>
        <v>#DIV/0!</v>
      </c>
      <c r="D321" s="131" t="e">
        <f t="shared" si="40"/>
        <v>#DIV/0!</v>
      </c>
      <c r="E321" s="72" t="e">
        <f t="shared" si="40"/>
        <v>#DIV/0!</v>
      </c>
      <c r="F321" s="119" t="e">
        <f t="shared" si="40"/>
        <v>#DIV/0!</v>
      </c>
      <c r="G321" s="119" t="e">
        <f t="shared" si="40"/>
        <v>#DIV/0!</v>
      </c>
      <c r="H321" s="119" t="e">
        <f t="shared" si="40"/>
        <v>#DIV/0!</v>
      </c>
      <c r="I321" s="119" t="e">
        <f t="shared" si="40"/>
        <v>#DIV/0!</v>
      </c>
    </row>
    <row r="322" spans="2:9" ht="13.5" thickBot="1">
      <c r="B322" s="127" t="s">
        <v>134</v>
      </c>
      <c r="C322" s="131">
        <v>0</v>
      </c>
      <c r="D322" s="131" t="e">
        <f aca="true" t="shared" si="41" ref="D322:I322">D318*D321</f>
        <v>#DIV/0!</v>
      </c>
      <c r="E322" s="72" t="e">
        <f t="shared" si="41"/>
        <v>#DIV/0!</v>
      </c>
      <c r="F322" s="119" t="e">
        <f t="shared" si="41"/>
        <v>#DIV/0!</v>
      </c>
      <c r="G322" s="119" t="e">
        <f t="shared" si="41"/>
        <v>#DIV/0!</v>
      </c>
      <c r="H322" s="119" t="e">
        <f t="shared" si="41"/>
        <v>#DIV/0!</v>
      </c>
      <c r="I322" s="119" t="e">
        <f t="shared" si="41"/>
        <v>#DIV/0!</v>
      </c>
    </row>
    <row r="323" spans="2:9" ht="13.5" thickBot="1">
      <c r="B323" s="127" t="s">
        <v>135</v>
      </c>
      <c r="C323" s="131"/>
      <c r="D323" s="131" t="e">
        <f>1000*$H$57/D322</f>
        <v>#DIV/0!</v>
      </c>
      <c r="E323" s="72" t="e">
        <f>1000*$G$57/E322</f>
        <v>#DIV/0!</v>
      </c>
      <c r="F323" s="119" t="e">
        <f>1000*$F$57/F322</f>
        <v>#DIV/0!</v>
      </c>
      <c r="G323" s="119" t="e">
        <f>1000*$E$57/G322</f>
        <v>#DIV/0!</v>
      </c>
      <c r="H323" s="119" t="e">
        <f>1000*$D$57/H322</f>
        <v>#DIV/0!</v>
      </c>
      <c r="I323" s="119" t="e">
        <f>1000*$C$57/I322</f>
        <v>#DIV/0!</v>
      </c>
    </row>
    <row r="324" spans="2:9" ht="13.5" thickBot="1">
      <c r="B324" s="129" t="s">
        <v>136</v>
      </c>
      <c r="C324" s="137"/>
      <c r="D324" s="137" t="e">
        <f>D322/$H$54</f>
        <v>#DIV/0!</v>
      </c>
      <c r="E324" s="139" t="e">
        <f>E322/$G$54</f>
        <v>#DIV/0!</v>
      </c>
      <c r="F324" s="138" t="e">
        <f>F322/$F$54</f>
        <v>#DIV/0!</v>
      </c>
      <c r="G324" s="138" t="e">
        <f>G322/$E$54</f>
        <v>#DIV/0!</v>
      </c>
      <c r="H324" s="138" t="e">
        <f>H322/$D$54</f>
        <v>#DIV/0!</v>
      </c>
      <c r="I324" s="138" t="e">
        <f>I322/$C$54</f>
        <v>#DIV/0!</v>
      </c>
    </row>
    <row r="325" ht="13.5" thickTop="1"/>
    <row r="327" spans="4:6" ht="13.5" thickBot="1">
      <c r="D327" t="s">
        <v>141</v>
      </c>
      <c r="F327" t="e">
        <f>H186</f>
        <v>#DIV/0!</v>
      </c>
    </row>
    <row r="328" spans="2:9" ht="14.25" thickBot="1" thickTop="1">
      <c r="B328" s="126" t="s">
        <v>131</v>
      </c>
      <c r="C328" s="130">
        <f>$B$272*$H$272</f>
        <v>0</v>
      </c>
      <c r="D328" s="130" t="e">
        <f>0.001*($H$55*$H$186*$I$24*$F$18/$J$272)</f>
        <v>#DIV/0!</v>
      </c>
      <c r="E328" s="71" t="e">
        <f>0.001*($G$55*$H$186*$I$24*$F$18/$J$272)</f>
        <v>#DIV/0!</v>
      </c>
      <c r="F328" s="118" t="e">
        <f>0.001*($F$55*$H$186*$I$24*$F$18/$J$272)</f>
        <v>#DIV/0!</v>
      </c>
      <c r="G328" s="118" t="e">
        <f>0.001*($E$55*$H$186*$I$24*$F$18/$J$272)</f>
        <v>#DIV/0!</v>
      </c>
      <c r="H328" s="118" t="e">
        <f>0.001*($D$55*$H$186*$I$24*$F$18/$J$272)</f>
        <v>#DIV/0!</v>
      </c>
      <c r="I328" s="118" t="e">
        <f>0.001*($C$55*$H$186*$I$24*$F$18/$J$272)</f>
        <v>#DIV/0!</v>
      </c>
    </row>
    <row r="329" spans="2:9" ht="13.5" thickBot="1">
      <c r="B329" s="127" t="s">
        <v>132</v>
      </c>
      <c r="C329" s="131">
        <v>0</v>
      </c>
      <c r="D329" s="131" t="e">
        <f aca="true" t="shared" si="42" ref="D329:I329">D328-($B$272*$H$272)</f>
        <v>#DIV/0!</v>
      </c>
      <c r="E329" s="72" t="e">
        <f t="shared" si="42"/>
        <v>#DIV/0!</v>
      </c>
      <c r="F329" s="119" t="e">
        <f t="shared" si="42"/>
        <v>#DIV/0!</v>
      </c>
      <c r="G329" s="119" t="e">
        <f t="shared" si="42"/>
        <v>#DIV/0!</v>
      </c>
      <c r="H329" s="119" t="e">
        <f t="shared" si="42"/>
        <v>#DIV/0!</v>
      </c>
      <c r="I329" s="119" t="e">
        <f t="shared" si="42"/>
        <v>#DIV/0!</v>
      </c>
    </row>
    <row r="330" spans="2:9" ht="13.5" thickBot="1">
      <c r="B330" s="128" t="s">
        <v>18</v>
      </c>
      <c r="C330" s="131">
        <v>0</v>
      </c>
      <c r="D330" s="132" t="e">
        <f>D319*D329/D318</f>
        <v>#DIV/0!</v>
      </c>
      <c r="E330" s="60" t="e">
        <f>E319*E329/E318</f>
        <v>#DIV/0!</v>
      </c>
      <c r="F330" s="134" t="e">
        <f>E330*F329/E329</f>
        <v>#DIV/0!</v>
      </c>
      <c r="G330" s="134" t="e">
        <f>F330*G329/F329</f>
        <v>#DIV/0!</v>
      </c>
      <c r="H330" s="134" t="e">
        <f>E319+(F319-E319)*(H329-E318)/(F319-E319)</f>
        <v>#DIV/0!</v>
      </c>
      <c r="I330" s="134" t="e">
        <f>F319+(G319-F319)*(I329-F318)/(G318-F318)</f>
        <v>#DIV/0!</v>
      </c>
    </row>
    <row r="331" spans="2:9" ht="13.5" thickBot="1">
      <c r="B331" s="127" t="s">
        <v>114</v>
      </c>
      <c r="C331" s="116" t="e">
        <f>3.14*$H$81*($I$53-($I$36*($I$53-$G$53))/($H$81*$H$186*$G$55*$D$33))/(30*$H$186)</f>
        <v>#DIV/0!</v>
      </c>
      <c r="D331" s="116" t="e">
        <f>3.14*$H$53*$J$272/(30*$H$186)</f>
        <v>#DIV/0!</v>
      </c>
      <c r="E331" s="58" t="e">
        <f>3.14*$G$53*$J$272/(30*$H$186)</f>
        <v>#DIV/0!</v>
      </c>
      <c r="F331" s="117" t="e">
        <f>3.14*$F$53*$J$272/(30*$H$186)</f>
        <v>#DIV/0!</v>
      </c>
      <c r="G331" s="117" t="e">
        <f>3.14*$E$53*$J$272/(30*$H$186)</f>
        <v>#DIV/0!</v>
      </c>
      <c r="H331" s="117" t="e">
        <f>3.14*$D$53*$J$272/(30*$H$186)</f>
        <v>#DIV/0!</v>
      </c>
      <c r="I331" s="117" t="e">
        <f>3.14*$C$53*$J$272/(30*$H$186)</f>
        <v>#DIV/0!</v>
      </c>
    </row>
    <row r="332" spans="2:9" ht="13.5" thickBot="1">
      <c r="B332" s="127" t="s">
        <v>133</v>
      </c>
      <c r="C332" s="131" t="e">
        <f aca="true" t="shared" si="43" ref="C332:I332">C331*(1-0.01*C330)</f>
        <v>#DIV/0!</v>
      </c>
      <c r="D332" s="131" t="e">
        <f t="shared" si="43"/>
        <v>#DIV/0!</v>
      </c>
      <c r="E332" s="72" t="e">
        <f t="shared" si="43"/>
        <v>#DIV/0!</v>
      </c>
      <c r="F332" s="119" t="e">
        <f t="shared" si="43"/>
        <v>#DIV/0!</v>
      </c>
      <c r="G332" s="119" t="e">
        <f t="shared" si="43"/>
        <v>#DIV/0!</v>
      </c>
      <c r="H332" s="119" t="e">
        <f t="shared" si="43"/>
        <v>#DIV/0!</v>
      </c>
      <c r="I332" s="119" t="e">
        <f t="shared" si="43"/>
        <v>#DIV/0!</v>
      </c>
    </row>
    <row r="333" spans="2:9" ht="13.5" thickBot="1">
      <c r="B333" s="127" t="s">
        <v>134</v>
      </c>
      <c r="C333" s="131">
        <v>0</v>
      </c>
      <c r="D333" s="131" t="e">
        <f aca="true" t="shared" si="44" ref="D333:I333">D329*D332</f>
        <v>#DIV/0!</v>
      </c>
      <c r="E333" s="72" t="e">
        <f t="shared" si="44"/>
        <v>#DIV/0!</v>
      </c>
      <c r="F333" s="119" t="e">
        <f t="shared" si="44"/>
        <v>#DIV/0!</v>
      </c>
      <c r="G333" s="119" t="e">
        <f t="shared" si="44"/>
        <v>#DIV/0!</v>
      </c>
      <c r="H333" s="119" t="e">
        <f t="shared" si="44"/>
        <v>#DIV/0!</v>
      </c>
      <c r="I333" s="119" t="e">
        <f t="shared" si="44"/>
        <v>#DIV/0!</v>
      </c>
    </row>
    <row r="334" spans="2:9" ht="13.5" thickBot="1">
      <c r="B334" s="127" t="s">
        <v>135</v>
      </c>
      <c r="C334" s="131"/>
      <c r="D334" s="131" t="e">
        <f>1000*$H$57/D333</f>
        <v>#DIV/0!</v>
      </c>
      <c r="E334" s="72" t="e">
        <f>1000*$G$57/E333</f>
        <v>#DIV/0!</v>
      </c>
      <c r="F334" s="119" t="e">
        <f>1000*$F$57/F333</f>
        <v>#DIV/0!</v>
      </c>
      <c r="G334" s="119" t="e">
        <f>1000*$E$57/G333</f>
        <v>#DIV/0!</v>
      </c>
      <c r="H334" s="119" t="e">
        <f>1000*$D$57/H333</f>
        <v>#DIV/0!</v>
      </c>
      <c r="I334" s="119" t="e">
        <f>1000*$C$57/I333</f>
        <v>#DIV/0!</v>
      </c>
    </row>
    <row r="335" spans="2:9" ht="13.5" thickBot="1">
      <c r="B335" s="129" t="s">
        <v>136</v>
      </c>
      <c r="C335" s="137"/>
      <c r="D335" s="137" t="e">
        <f>D333/$H$54</f>
        <v>#DIV/0!</v>
      </c>
      <c r="E335" s="139" t="e">
        <f>E333/$G$54</f>
        <v>#DIV/0!</v>
      </c>
      <c r="F335" s="138" t="e">
        <f>F333/$F$54</f>
        <v>#DIV/0!</v>
      </c>
      <c r="G335" s="138" t="e">
        <f>G333/$E$54</f>
        <v>#DIV/0!</v>
      </c>
      <c r="H335" s="138" t="e">
        <f>H333/$D$54</f>
        <v>#DIV/0!</v>
      </c>
      <c r="I335" s="138" t="e">
        <f>I333/$C$54</f>
        <v>#DIV/0!</v>
      </c>
    </row>
    <row r="336" ht="13.5" thickTop="1"/>
    <row r="337" spans="4:6" ht="13.5" thickBot="1">
      <c r="D337" t="s">
        <v>142</v>
      </c>
      <c r="F337" t="e">
        <f>I106</f>
        <v>#DIV/0!</v>
      </c>
    </row>
    <row r="338" spans="2:9" ht="14.25" thickBot="1" thickTop="1">
      <c r="B338" s="63" t="s">
        <v>131</v>
      </c>
      <c r="C338" s="130">
        <f>$B$272*$H$272</f>
        <v>0</v>
      </c>
      <c r="D338" s="130" t="e">
        <f>0.001*($H$55*$I$106*$I$24*$F$18/$J$272)</f>
        <v>#DIV/0!</v>
      </c>
      <c r="E338" s="71" t="e">
        <f>0.001*($G$55*$I$106*$I$24*$F$18/$J$272)</f>
        <v>#DIV/0!</v>
      </c>
      <c r="F338" s="118" t="e">
        <f>0.001*($F$55*$I$106*$I$24*$F$18/$J$272)</f>
        <v>#DIV/0!</v>
      </c>
      <c r="G338" s="118" t="e">
        <f>0.001*($E$55*$I$106*$I$24*$F$18/$J$272)</f>
        <v>#DIV/0!</v>
      </c>
      <c r="H338" s="118" t="e">
        <f>0.001*($D$55*$I$106*$I$24*$F$18/$J$272)</f>
        <v>#DIV/0!</v>
      </c>
      <c r="I338" s="118" t="e">
        <f>0.001*($C$55*$I$106*$I$24*$F$18/$J$272)</f>
        <v>#DIV/0!</v>
      </c>
    </row>
    <row r="339" spans="2:9" ht="13.5" thickBot="1">
      <c r="B339" s="64" t="s">
        <v>132</v>
      </c>
      <c r="C339" s="131">
        <v>0</v>
      </c>
      <c r="D339" s="131" t="e">
        <f aca="true" t="shared" si="45" ref="D339:I339">D338-($B$272*$H$272)</f>
        <v>#DIV/0!</v>
      </c>
      <c r="E339" s="72" t="e">
        <f t="shared" si="45"/>
        <v>#DIV/0!</v>
      </c>
      <c r="F339" s="119" t="e">
        <f t="shared" si="45"/>
        <v>#DIV/0!</v>
      </c>
      <c r="G339" s="119" t="e">
        <f t="shared" si="45"/>
        <v>#DIV/0!</v>
      </c>
      <c r="H339" s="119" t="e">
        <f t="shared" si="45"/>
        <v>#DIV/0!</v>
      </c>
      <c r="I339" s="119" t="e">
        <f t="shared" si="45"/>
        <v>#DIV/0!</v>
      </c>
    </row>
    <row r="340" spans="2:9" ht="13.5" thickBot="1">
      <c r="B340" s="65" t="s">
        <v>18</v>
      </c>
      <c r="C340" s="131">
        <v>0</v>
      </c>
      <c r="D340" s="132" t="e">
        <f>D330*D339/D329</f>
        <v>#DIV/0!</v>
      </c>
      <c r="E340" s="60" t="e">
        <f>E329*E339/E328</f>
        <v>#DIV/0!</v>
      </c>
      <c r="F340" s="134" t="e">
        <f>E340*F339/E339</f>
        <v>#DIV/0!</v>
      </c>
      <c r="G340" s="134" t="e">
        <f>E330*G339/E329</f>
        <v>#DIV/0!</v>
      </c>
      <c r="H340" s="134" t="e">
        <f>E330+(F330-E330)*(H339-E329)/(F329-E329)</f>
        <v>#DIV/0!</v>
      </c>
      <c r="I340" s="134" t="e">
        <f>F330+(G330-F330)*(I339-F329)/(G329-F329)</f>
        <v>#DIV/0!</v>
      </c>
    </row>
    <row r="341" spans="2:9" ht="13.5" thickBot="1">
      <c r="B341" s="64" t="s">
        <v>114</v>
      </c>
      <c r="C341" s="116" t="e">
        <f>3.14*$H$81*($I$53-($I$36*($I$53-$G$53))/($H$81*$I$186*$G$55*$D$33))/(30*$I$186)</f>
        <v>#DIV/0!</v>
      </c>
      <c r="D341" s="116" t="e">
        <f>3.14*$H$53*$J$272/(30*$I$106)</f>
        <v>#DIV/0!</v>
      </c>
      <c r="E341" s="58" t="e">
        <f>3.14*$G$53*$J$272/(30*$I$106)</f>
        <v>#DIV/0!</v>
      </c>
      <c r="F341" s="117" t="e">
        <f>3.14*$F$53*$J$272/(30*$I$106)</f>
        <v>#DIV/0!</v>
      </c>
      <c r="G341" s="117" t="e">
        <f>3.14*$E$53*$J$272/(30*$I$106)</f>
        <v>#DIV/0!</v>
      </c>
      <c r="H341" s="117" t="e">
        <f>3.14*$D$53*$J$272/(30*$I$106)</f>
        <v>#DIV/0!</v>
      </c>
      <c r="I341" s="117" t="e">
        <f>3.14*$C$53*$J$272/(30*$I$106)</f>
        <v>#DIV/0!</v>
      </c>
    </row>
    <row r="342" spans="2:9" ht="13.5" thickBot="1">
      <c r="B342" s="64" t="s">
        <v>133</v>
      </c>
      <c r="C342" s="131" t="e">
        <f aca="true" t="shared" si="46" ref="C342:I342">C341*(1-0.01*C340)</f>
        <v>#DIV/0!</v>
      </c>
      <c r="D342" s="131" t="e">
        <f t="shared" si="46"/>
        <v>#DIV/0!</v>
      </c>
      <c r="E342" s="72" t="e">
        <f t="shared" si="46"/>
        <v>#DIV/0!</v>
      </c>
      <c r="F342" s="119" t="e">
        <f t="shared" si="46"/>
        <v>#DIV/0!</v>
      </c>
      <c r="G342" s="119" t="e">
        <f t="shared" si="46"/>
        <v>#DIV/0!</v>
      </c>
      <c r="H342" s="119" t="e">
        <f t="shared" si="46"/>
        <v>#DIV/0!</v>
      </c>
      <c r="I342" s="119" t="e">
        <f t="shared" si="46"/>
        <v>#DIV/0!</v>
      </c>
    </row>
    <row r="343" spans="2:9" ht="13.5" thickBot="1">
      <c r="B343" s="64" t="s">
        <v>134</v>
      </c>
      <c r="C343" s="131">
        <v>0</v>
      </c>
      <c r="D343" s="131" t="e">
        <f aca="true" t="shared" si="47" ref="D343:I343">D339*D342</f>
        <v>#DIV/0!</v>
      </c>
      <c r="E343" s="72" t="e">
        <f t="shared" si="47"/>
        <v>#DIV/0!</v>
      </c>
      <c r="F343" s="119" t="e">
        <f t="shared" si="47"/>
        <v>#DIV/0!</v>
      </c>
      <c r="G343" s="119" t="e">
        <f t="shared" si="47"/>
        <v>#DIV/0!</v>
      </c>
      <c r="H343" s="119" t="e">
        <f t="shared" si="47"/>
        <v>#DIV/0!</v>
      </c>
      <c r="I343" s="119" t="e">
        <f t="shared" si="47"/>
        <v>#DIV/0!</v>
      </c>
    </row>
    <row r="344" spans="2:9" ht="13.5" thickBot="1">
      <c r="B344" s="64" t="s">
        <v>135</v>
      </c>
      <c r="C344" s="131"/>
      <c r="D344" s="131" t="e">
        <f>1000*$H$57/D343</f>
        <v>#DIV/0!</v>
      </c>
      <c r="E344" s="72" t="e">
        <f>1000*$G$57/E343</f>
        <v>#DIV/0!</v>
      </c>
      <c r="F344" s="119" t="e">
        <f>1000*$F$57/F343</f>
        <v>#DIV/0!</v>
      </c>
      <c r="G344" s="119" t="e">
        <f>1000*$E$57/G343</f>
        <v>#DIV/0!</v>
      </c>
      <c r="H344" s="119" t="e">
        <f>1000*$D$57/H343</f>
        <v>#DIV/0!</v>
      </c>
      <c r="I344" s="119" t="e">
        <f>1000*$C$57/I343</f>
        <v>#DIV/0!</v>
      </c>
    </row>
    <row r="345" spans="2:9" ht="13.5" thickBot="1">
      <c r="B345" s="66" t="s">
        <v>136</v>
      </c>
      <c r="C345" s="137"/>
      <c r="D345" s="137" t="e">
        <f>D343/$H$54</f>
        <v>#DIV/0!</v>
      </c>
      <c r="E345" s="139" t="e">
        <f>E343/$G$54</f>
        <v>#DIV/0!</v>
      </c>
      <c r="F345" s="138" t="e">
        <f>F343/$F$54</f>
        <v>#DIV/0!</v>
      </c>
      <c r="G345" s="138" t="e">
        <f>G343/$E$54</f>
        <v>#DIV/0!</v>
      </c>
      <c r="H345" s="138" t="e">
        <f>H343/$D$54</f>
        <v>#DIV/0!</v>
      </c>
      <c r="I345" s="138" t="e">
        <f>I343/$C$54</f>
        <v>#DIV/0!</v>
      </c>
    </row>
    <row r="346" ht="13.5" thickTop="1"/>
  </sheetData>
  <sheetProtection password="CC55" sheet="1" objects="1" scenarios="1"/>
  <printOptions/>
  <pageMargins left="0.4330708661417323" right="2.24" top="0.5118110236220472" bottom="0.472440944881889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9">
      <selection activeCell="L11" sqref="L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F18" sqref="F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Богатырев</dc:creator>
  <cp:keywords/>
  <dc:description/>
  <cp:lastModifiedBy>1</cp:lastModifiedBy>
  <cp:lastPrinted>2003-03-27T14:38:54Z</cp:lastPrinted>
  <dcterms:created xsi:type="dcterms:W3CDTF">2001-03-18T11:51:21Z</dcterms:created>
  <dcterms:modified xsi:type="dcterms:W3CDTF">2011-02-03T09:27:50Z</dcterms:modified>
  <cp:category/>
  <cp:version/>
  <cp:contentType/>
  <cp:contentStatus/>
</cp:coreProperties>
</file>